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trlProps/ctrlProp107.xml" ContentType="application/vnd.ms-excel.controlproperties+xml"/>
  <Override PartName="/xl/drawings/drawing4.xml" ContentType="application/vnd.openxmlformats-officedocument.drawing+xml"/>
  <Override PartName="/xl/ctrlProps/ctrlProp108.xml" ContentType="application/vnd.ms-excel.controlproperties+xml"/>
  <Override PartName="/xl/drawings/drawing5.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drawings/drawing6.xml" ContentType="application/vnd.openxmlformats-officedocument.drawing+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drawings/drawing7.xml" ContentType="application/vnd.openxmlformats-officedocument.drawing+xml"/>
  <Override PartName="/xl/ctrlProps/ctrlProp134.xml" ContentType="application/vnd.ms-excel.controlproperties+xml"/>
  <Override PartName="/xl/ctrlProps/ctrlProp135.xml" ContentType="application/vnd.ms-excel.controlproperties+xml"/>
  <Override PartName="/xl/drawings/drawing8.xml" ContentType="application/vnd.openxmlformats-officedocument.drawing+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drawings/drawing9.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drawings/drawing10.xml" ContentType="application/vnd.openxmlformats-officedocument.drawing+xml"/>
  <Override PartName="/xl/ctrlProps/ctrlProp144.xml" ContentType="application/vnd.ms-excel.controlproperties+xml"/>
  <Override PartName="/xl/ctrlProps/ctrlProp145.xml" ContentType="application/vnd.ms-excel.controlproperties+xml"/>
  <Override PartName="/xl/drawings/drawing11.xml" ContentType="application/vnd.openxmlformats-officedocument.drawing+xml"/>
  <Override PartName="/xl/ctrlProps/ctrlProp146.xml" ContentType="application/vnd.ms-excel.controlproperties+xml"/>
  <Override PartName="/xl/ctrlProps/ctrlProp147.xml" ContentType="application/vnd.ms-excel.controlproperties+xml"/>
  <Override PartName="/xl/drawings/drawing12.xml" ContentType="application/vnd.openxmlformats-officedocument.drawing+xml"/>
  <Override PartName="/xl/ctrlProps/ctrlProp148.xml" ContentType="application/vnd.ms-excel.controlproperties+xml"/>
  <Override PartName="/xl/drawings/drawing13.xml" ContentType="application/vnd.openxmlformats-officedocument.drawing+xml"/>
  <Override PartName="/xl/ctrlProps/ctrlProp149.xml" ContentType="application/vnd.ms-excel.controlproperties+xml"/>
  <Override PartName="/xl/ctrlProps/ctrlProp150.xml" ContentType="application/vnd.ms-excel.controlproperti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4.xml" ContentType="application/vnd.openxmlformats-officedocument.drawing+xml"/>
  <Override PartName="/xl/ctrlProps/ctrlProp151.xml" ContentType="application/vnd.ms-excel.controlproperties+xml"/>
  <Override PartName="/xl/drawings/drawing15.xml" ContentType="application/vnd.openxmlformats-officedocument.drawing+xml"/>
  <Override PartName="/xl/ctrlProps/ctrlProp152.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ml.chartshapes+xml"/>
  <Override PartName="/xl/charts/chart5.xml" ContentType="application/vnd.openxmlformats-officedocument.drawingml.chart+xml"/>
  <Override PartName="/xl/drawings/drawing20.xml" ContentType="application/vnd.openxmlformats-officedocument.drawingml.chartshapes+xml"/>
  <Override PartName="/xl/charts/chart6.xml" ContentType="application/vnd.openxmlformats-officedocument.drawingml.chart+xml"/>
  <Override PartName="/xl/drawings/drawing21.xml" ContentType="application/vnd.openxmlformats-officedocument.drawingml.chartshapes+xml"/>
  <Override PartName="/xl/charts/chart7.xml" ContentType="application/vnd.openxmlformats-officedocument.drawingml.chart+xml"/>
  <Override PartName="/xl/drawings/drawing22.xml" ContentType="application/vnd.openxmlformats-officedocument.drawingml.chartshapes+xml"/>
  <Override PartName="/xl/charts/chart8.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showInkAnnotation="0" codeName="ThisWorkbook" defaultThemeVersion="124226"/>
  <mc:AlternateContent xmlns:mc="http://schemas.openxmlformats.org/markup-compatibility/2006">
    <mc:Choice Requires="x15">
      <x15ac:absPath xmlns:x15ac="http://schemas.microsoft.com/office/spreadsheetml/2010/11/ac" url="C:\Users\Utilisateur\Desktop\"/>
    </mc:Choice>
  </mc:AlternateContent>
  <workbookProtection workbookAlgorithmName="SHA-512" workbookHashValue="KSIV6NdGtuSLHE4qIoFmdSXlCqSED+vqslm1vJfTxYbFgSk5Nt3edHIClFWCsOemw+dJvKM0XyUQGGYISBCu5w==" workbookSaltValue="k1uive0sq6bJX08lF+Q5Sw==" workbookSpinCount="100000" lockStructure="1"/>
  <bookViews>
    <workbookView xWindow="0" yWindow="0" windowWidth="19200" windowHeight="7800"/>
  </bookViews>
  <sheets>
    <sheet name="Présentation" sheetId="27" r:id="rId1"/>
    <sheet name="Saisies_Exploitation" sheetId="1" r:id="rId2"/>
    <sheet name="NPK_Organiques" sheetId="2" r:id="rId3"/>
    <sheet name="Chargements" sheetId="15" r:id="rId4"/>
    <sheet name="Pressions_Prairies" sheetId="14" r:id="rId5"/>
    <sheet name="Plan_Epandage" sheetId="21" r:id="rId6"/>
    <sheet name="Ferti_SAU" sheetId="23" r:id="rId7"/>
    <sheet name="Ferti_Prairies" sheetId="17" r:id="rId8"/>
    <sheet name="Ferti_Cultures" sheetId="18" r:id="rId9"/>
    <sheet name="Autonomie" sheetId="22" r:id="rId10"/>
    <sheet name="Achats" sheetId="26" r:id="rId11"/>
    <sheet name="Resultats" sheetId="24" r:id="rId12"/>
    <sheet name="Saisie_Bilan" sheetId="29" r:id="rId13"/>
    <sheet name="Resu_Bilan" sheetId="28" r:id="rId14"/>
    <sheet name="Resu_Bilan_Pat" sheetId="30" r:id="rId15"/>
    <sheet name="VLCalendrier" sheetId="3" state="hidden" r:id="rId16"/>
    <sheet name="VLPartPaturage" sheetId="4" state="hidden" r:id="rId17"/>
    <sheet name="GénissesLaitières" sheetId="5" state="hidden" r:id="rId18"/>
    <sheet name="Allaitant" sheetId="7" state="hidden" r:id="rId19"/>
    <sheet name="Engraissement" sheetId="6" state="hidden" r:id="rId20"/>
    <sheet name="VeauBoucherie" sheetId="20" state="hidden" r:id="rId21"/>
    <sheet name="Porcs" sheetId="8" state="hidden" r:id="rId22"/>
    <sheet name="Volailles" sheetId="11" state="hidden" r:id="rId23"/>
    <sheet name="Lapins" sheetId="12" state="hidden" r:id="rId24"/>
    <sheet name="Paramètres" sheetId="19" state="hidden" r:id="rId25"/>
  </sheets>
  <definedNames>
    <definedName name="AEN_AppMSL">Saisies_Exploitation!$D$213</definedName>
    <definedName name="AEN_AppMSV">Saisies_Exploitation!$D$210</definedName>
    <definedName name="AEN_ConcGen1A">Saisies_Exploitation!$M$219</definedName>
    <definedName name="AEN_ConcGen1AAuto">Saisies_Exploitation!$N$219</definedName>
    <definedName name="AEN_ConcGen1APat">Saisies_Exploitation!$O$219</definedName>
    <definedName name="AEN_ConcGen1L">Saisies_Exploitation!$M$215</definedName>
    <definedName name="AEN_ConcGen1LAuto">Saisies_Exploitation!$N$215</definedName>
    <definedName name="AEN_ConcGen1LPat">Saisies_Exploitation!$O$215</definedName>
    <definedName name="AEN_ConcGen2A">Saisies_Exploitation!$M$220</definedName>
    <definedName name="AEN_ConcGen2AAuto">Saisies_Exploitation!$N$220</definedName>
    <definedName name="AEN_ConcGen2APat">Saisies_Exploitation!$O$220</definedName>
    <definedName name="AEN_ConcGen2L">Saisies_Exploitation!$M$216</definedName>
    <definedName name="AEN_ConcGen2LAuto">Saisies_Exploitation!$N$216</definedName>
    <definedName name="AEN_ConcGen2LPat">Saisies_Exploitation!$O$216</definedName>
    <definedName name="AEN_ConcGen3A">Saisies_Exploitation!$M$221</definedName>
    <definedName name="AEN_ConcGen3AAuto">Saisies_Exploitation!$N$221</definedName>
    <definedName name="AEN_ConcGen3APat">Saisies_Exploitation!$O$221</definedName>
    <definedName name="AEN_ConcGen3L">Saisies_Exploitation!$M$217</definedName>
    <definedName name="AEN_ConcGen3LAuto">Saisies_Exploitation!$N$217</definedName>
    <definedName name="AEN_ConcGen3LPat">Saisies_Exploitation!$O$217</definedName>
    <definedName name="AEN_ConcTauL">Saisies_Exploitation!$M$211</definedName>
    <definedName name="AEN_ConcTauLAuto">Saisies_Exploitation!$N$211</definedName>
    <definedName name="AEN_ConcTauLPat">Saisies_Exploitation!$O$211</definedName>
    <definedName name="AEN_ConcTauV">Saisies_Exploitation!$M$208</definedName>
    <definedName name="AEN_ConcTauVAuto">Saisies_Exploitation!$N$208</definedName>
    <definedName name="AEN_ConcTauVPat">Saisies_Exploitation!$O$208</definedName>
    <definedName name="AEN_ConcVaR">Saisies_Exploitation!$M$223</definedName>
    <definedName name="AEN_ConcVaRAuto">Saisies_Exploitation!$N$223</definedName>
    <definedName name="AEN_ConcVaRPat">Saisies_Exploitation!$O$223</definedName>
    <definedName name="AEN_ConcVLR">Saisies_Exploitation!$M$224</definedName>
    <definedName name="AEN_ConcVLRAuto">Saisies_Exploitation!$N$224</definedName>
    <definedName name="AEN_ConcVLRPat">Saisies_Exploitation!$O$224</definedName>
    <definedName name="AEN_ConVouL">Saisies_Exploitation!$AC$212</definedName>
    <definedName name="AEN_ConVouV">Saisies_Exploitation!$AC$209</definedName>
    <definedName name="AEN_ConvVLR">Saisies_Exploitation!$M$224</definedName>
    <definedName name="AEN_EnsilTauL">Saisies_Exploitation!$AC$211</definedName>
    <definedName name="AEN_EnsilTauV">Saisies_Exploitation!$AC$208</definedName>
    <definedName name="AEN_G3AHeMo">Saisies_Exploitation!$K$221</definedName>
    <definedName name="AEN_G3AMaHe">Saisies_Exploitation!$AC$221</definedName>
    <definedName name="AEN_G3LHeMo">Saisies_Exploitation!$K$217</definedName>
    <definedName name="AEN_G3LMaHe">Saisies_Exploitation!$AC$217</definedName>
    <definedName name="AEN_MaHeMo">Saisies_Exploitation!$K$206</definedName>
    <definedName name="AEN_MalMaHe">Saisies_Exploitation!$AC$206</definedName>
    <definedName name="AEN_VaRefL">Saisies_Exploitation!$AC$224</definedName>
    <definedName name="AEN_VaRefV">Saisies_Exploitation!$AC$223</definedName>
    <definedName name="AGL_An1SanPat">Saisies_Exploitation!$AC$171</definedName>
    <definedName name="AGL_An2Hiv">Saisies_Exploitation!$AC$164</definedName>
    <definedName name="AGL_An2SanPat">Saisies_Exploitation!$AC$172</definedName>
    <definedName name="AGL_An3Pre">Saisies_Exploitation!$AC$166</definedName>
    <definedName name="AGL_An3TarHiv">Saisies_Exploitation!$AC$165</definedName>
    <definedName name="AGL_ConAn1">Saisies_Exploitation!$F$168</definedName>
    <definedName name="AGL_ConAn2">Saisies_Exploitation!$G$168</definedName>
    <definedName name="AGL_ConAn3">Saisies_Exploitation!$H$168</definedName>
    <definedName name="AGL_Conc">Saisies_Exploitation!$J$173</definedName>
    <definedName name="AGL_ConcAuto">Saisies_Exploitation!$M$173</definedName>
    <definedName name="AGL_MoHeAn1">Saisies_Exploitation!$F$162</definedName>
    <definedName name="AGL_MoHeAn2">Saisies_Exploitation!$G$162</definedName>
    <definedName name="AGL_MoHeAn3">Saisies_Exploitation!$H$162</definedName>
    <definedName name="AMA_All">Saisies_Exploitation!$F$200:$F$202</definedName>
    <definedName name="AMA_AllAuto">Saisies_Exploitation!$H$200:$H$202</definedName>
    <definedName name="AMA_AllPat">Saisies_Exploitation!$J$200:$J$202</definedName>
    <definedName name="AMA_Lai">Saisies_Exploitation!$F$196:$F$198</definedName>
    <definedName name="AMA_LaiAuto">Saisies_Exploitation!$H$196:$H$198</definedName>
    <definedName name="AMA_LaiPat">Saisies_Exploitation!$J$196:$J$198</definedName>
    <definedName name="ATA_ChPer1">Saisies_Exploitation!$I$179</definedName>
    <definedName name="ATA_ChPer2">Saisies_Exploitation!$I$180</definedName>
    <definedName name="ATA_ChPer3">Saisies_Exploitation!$I$181</definedName>
    <definedName name="ATA_ConcBr">Saisies_Exploitation!$F$191</definedName>
    <definedName name="ATA_ConcBrAuto">Saisies_Exploitation!$H$191</definedName>
    <definedName name="ATA_ConcBrPat">Saisies_Exploitation!$J$191</definedName>
    <definedName name="ATA_ConcGen">Saisies_Exploitation!$F$190</definedName>
    <definedName name="ATA_ConcGenAuto">Saisies_Exploitation!$H$190</definedName>
    <definedName name="ATA_ConcGenPat">Saisies_Exploitation!$J$190</definedName>
    <definedName name="ATA_ConcVa">Saisies_Exploitation!$F$189</definedName>
    <definedName name="ATA_ConcVaAuto">Saisies_Exploitation!$H$189</definedName>
    <definedName name="ATA_ConcVaPat">Saisies_Exploitation!$J$189</definedName>
    <definedName name="ATA_EnsHe30">Saisies_Exploitation!$AC$190</definedName>
    <definedName name="ATA_EnsHe36">Saisies_Exploitation!$AC$189</definedName>
    <definedName name="ATA_EnsHeG2">Saisies_Exploitation!$AC$188</definedName>
    <definedName name="ATA_EnsHeVa">Saisies_Exploitation!$AC$186</definedName>
    <definedName name="ATA_Gen33FH">Saisies_Exploitation!$AC$185</definedName>
    <definedName name="ATA_JoPer1">Saisies_Exploitation!$E$179</definedName>
    <definedName name="ATA_JoPer2">Saisies_Exploitation!$E$180</definedName>
    <definedName name="ATA_JoPer3">Saisies_Exploitation!$E$181</definedName>
    <definedName name="ATA_MoHeG36">Saisies_Exploitation!$AC$184</definedName>
    <definedName name="ATA_MoHeGe2">Saisies_Exploitation!$AC$176</definedName>
    <definedName name="ATA_MoHeVa">Saisies_Exploitation!$AC$175</definedName>
    <definedName name="ATA_SurPat1">Saisies_Exploitation!$G$179</definedName>
    <definedName name="ATA_SurPat2">Saisies_Exploitation!$G$180</definedName>
    <definedName name="ATA_SurPat3">Saisies_Exploitation!$G$181</definedName>
    <definedName name="Aut_Ass_Stad">Autonomie!$D$22:$D$23</definedName>
    <definedName name="Aut_Asso">Autonomie!$E$20:$F$23</definedName>
    <definedName name="Aut_CerAuto">Autonomie!$E$45:$F$49</definedName>
    <definedName name="Aut_Ensil">Autonomie!$E$26:$F$27</definedName>
    <definedName name="Aut_FouGro">Autonomie!$E$31:$F$36</definedName>
    <definedName name="Aut_FouRicN">Autonomie!$E$38:$F$43</definedName>
    <definedName name="Aut_Lon_Stad">Autonomie!$D$15:$D$16</definedName>
    <definedName name="Aut_LonDur">Autonomie!$E$13:$F$16</definedName>
    <definedName name="Aut_PCreserve">Autonomie!$K$146</definedName>
    <definedName name="Aut_Per_Stad">Autonomie!$D$8:$D$9</definedName>
    <definedName name="Aut_PraiPer">Autonomie!$E$6:$F$9</definedName>
    <definedName name="AVL_AreHerbe">Saisies_Exploitation!$I$148</definedName>
    <definedName name="AVL_AreMais">Saisies_Exploitation!$I$149</definedName>
    <definedName name="AVL_ChPer1">Saisies_Exploitation!$K$135</definedName>
    <definedName name="AVL_ChPer2">Saisies_Exploitation!$K$137</definedName>
    <definedName name="AVL_ChPer3">Saisies_Exploitation!$K$139</definedName>
    <definedName name="AVL_CompPat">Saisies_Exploitation!$G$145</definedName>
    <definedName name="AVL_Conc">Saisies_Exploitation!$I$132</definedName>
    <definedName name="AVL_ConcAuto">Saisies_Exploitation!$L$132</definedName>
    <definedName name="AVL_ConJou1">Saisies_Exploitation!$I$135</definedName>
    <definedName name="AVL_ConJou2">Saisies_Exploitation!$I$137</definedName>
    <definedName name="AVL_ConJou3">Saisies_Exploitation!$I$139</definedName>
    <definedName name="AVL_JoConnus">Saisies_Exploitation!$AC$143</definedName>
    <definedName name="AVL_JoPer1">Saisies_Exploitation!$E$135</definedName>
    <definedName name="AVL_JoPer2">Saisies_Exploitation!$E$137</definedName>
    <definedName name="AVL_JoPer3">Saisies_Exploitation!$E$139</definedName>
    <definedName name="AVL_PaH25EH">Saisies_Exploitation!$D$149</definedName>
    <definedName name="AVL_PaH25EM">Saisies_Exploitation!$D$151</definedName>
    <definedName name="AVL_PaH50EH">Saisies_Exploitation!$D$148</definedName>
    <definedName name="AVL_PaH50EM">Saisies_Exploitation!$D$150</definedName>
    <definedName name="AVL_PaHerSeu">Saisies_Exploitation!$D$141</definedName>
    <definedName name="AVL_Paturage">Saisies_Exploitation!$J$147</definedName>
    <definedName name="AVL_StEH0">Saisies_Exploitation!$D$157</definedName>
    <definedName name="AVL_StEH100">Saisies_Exploitation!$D$153</definedName>
    <definedName name="AVL_StEH25">Saisies_Exploitation!$D$156</definedName>
    <definedName name="AVL_StEH50">Saisies_Exploitation!$D$155</definedName>
    <definedName name="AVL_StEH75">Saisies_Exploitation!$D$154</definedName>
    <definedName name="AVL_Surpat1">Saisies_Exploitation!$G$135</definedName>
    <definedName name="AVL_SurPat2">Saisies_Exploitation!$G$137</definedName>
    <definedName name="AVL_SurPat3">Saisies_Exploitation!$G$139</definedName>
    <definedName name="CCP_SurPat1">Saisies_Exploitation!$E$230</definedName>
    <definedName name="CCP_SurPat2">Saisies_Exploitation!$E$231</definedName>
    <definedName name="CCP_SurPat3">Saisies_Exploitation!$E$232</definedName>
    <definedName name="Cu_Age">Ferti_Cultures!$F$33</definedName>
    <definedName name="Cu_Analy">Ferti_Cultures!$F$14</definedName>
    <definedName name="Cu_Atmosph">Ferti_Cultures!$E$49</definedName>
    <definedName name="Cu_BouEpu">Ferti_Cultures!$E$149:$H$151</definedName>
    <definedName name="Cu_Choix">Ferti_Cultures!$AF$41</definedName>
    <definedName name="Cu_Co1">Ferti_Cultures!$E$102:$H$103</definedName>
    <definedName name="Cu_Co2">Ferti_Cultures!$E$105:$H$109</definedName>
    <definedName name="Cu_Cp1">Ferti_Cultures!$E$131:$H$134</definedName>
    <definedName name="Cu_Cp2">Ferti_Cultures!$E$136:$H$136</definedName>
    <definedName name="Cu_Cult">Ferti_Cultures!$D$8</definedName>
    <definedName name="Cu_CuPre">Ferti_Cultures!$D$37</definedName>
    <definedName name="Cu_DigMetha">Ferti_Cultures!$E$142:$H$144</definedName>
    <definedName name="Cu_Dose">Ferti_Cultures!$F$23</definedName>
    <definedName name="Cu_Effl">Ferti_Cultures!$F$21</definedName>
    <definedName name="Cu_Freq">Ferti_Cultures!$F$25</definedName>
    <definedName name="Cu_Fu1">Ferti_Cultures!$E$73:$H$75</definedName>
    <definedName name="Cu_Fu2">Ferti_Cultures!$E$77:$H$78</definedName>
    <definedName name="Cu_Fu3">Ferti_Cultures!$E$80:$H$83</definedName>
    <definedName name="Cu_Fu4">Ferti_Cultures!$E$85:$H$87</definedName>
    <definedName name="Cu_Fu5">Ferti_Cultures!$E$93:$H$95</definedName>
    <definedName name="Cu_Fu6">Ferti_Cultures!$E$97:$H$100</definedName>
    <definedName name="Cu_Fu7">Ferti_Cultures!$E$89:$H$91</definedName>
    <definedName name="Cu_GREN">Ferti_Cultures!$H$44</definedName>
    <definedName name="Cu_Hive">Ferti_Cultures!$E$46</definedName>
    <definedName name="Cu_K2O">Ferti_Cultures!$H$17</definedName>
    <definedName name="Cu_Lis1">Ferti_Cultures!$E$115:$H$118</definedName>
    <definedName name="Cu_Lis2">Ferti_Cultures!$E$120:$H$125</definedName>
    <definedName name="Cu_Metho">Ferti_Cultures!$J$14</definedName>
    <definedName name="Cu_N">Ferti_Cultures!$F$17</definedName>
    <definedName name="Cu_P2O5">Ferti_Cultures!$G$17</definedName>
    <definedName name="Cu_Rdt">Ferti_Cultures!$F$8:$H$8</definedName>
    <definedName name="Cu_Resi">Ferti_Cultures!$E$45</definedName>
    <definedName name="Cu_Retourn">Ferti_Cultures!$F$29</definedName>
    <definedName name="Cu_Sol">Ferti_Cultures!$D$44</definedName>
    <definedName name="Cu_Sys">Ferti_Cultures!$D$43</definedName>
    <definedName name="Cu_Temp">Ferti_Cultures!$F$31</definedName>
    <definedName name="DoseN1">Plan_Epandage!$H$55:$H$59</definedName>
    <definedName name="DoseN2">Plan_Epandage!$H$73:$H$77</definedName>
    <definedName name="DoseN3">Plan_Epandage!$H$102:$H$106</definedName>
    <definedName name="DoseN4">Plan_Epandage!$H$119:$H$123</definedName>
    <definedName name="EN_C1">Saisies_Exploitation!$I$96</definedName>
    <definedName name="EN_C2">Saisies_Exploitation!$H$97</definedName>
    <definedName name="EN_C3">Saisies_Exploitation!$I$117</definedName>
    <definedName name="EN_C4">Saisies_Exploitation!$H$118</definedName>
    <definedName name="EN_FormGen">Saisies_Exploitation!$AC$102</definedName>
    <definedName name="EN_FormMal">Saisies_Exploitation!$AC$70</definedName>
    <definedName name="EN_FormTauri">Saisies_Exploitation!$AC$93</definedName>
    <definedName name="EN_NbGen30m">Saisies_Exploitation!$F$107</definedName>
    <definedName name="EN_NbGen33m">Saisies_Exploitation!$F$108</definedName>
    <definedName name="EN_NbGen36m">Saisies_Exploitation!$F$109</definedName>
    <definedName name="EN_NbGenAn2">Saisies_Exploitation!$F$103</definedName>
    <definedName name="EN_NbMal28m">Saisies_Exploitation!$F$84</definedName>
    <definedName name="EN_NbMal30m">Saisies_Exploitation!$F$85</definedName>
    <definedName name="EN_NbMal33m">Saisies_Exploitation!$F$86</definedName>
    <definedName name="EN_NbMal36m">Saisies_Exploitation!$F$87</definedName>
    <definedName name="EN_NbMalAn1">Saisies_Exploitation!$F$72</definedName>
    <definedName name="EN_NbMalAn1A">Saisies_Exploitation!$E$72</definedName>
    <definedName name="EN_NbMalAn1Ach">Saisies_Exploitation!$E$75</definedName>
    <definedName name="EN_NbMalAn1L">Saisies_Exploitation!$D$72</definedName>
    <definedName name="EN_NbMalAn1Tau">Saisies_Exploitation!$E$73</definedName>
    <definedName name="EN_NbMalAn1Vd">Saisies_Exploitation!$E$74</definedName>
    <definedName name="EN_NbMalAn2">Saisies_Exploitation!$F$79</definedName>
    <definedName name="EN_NbMoVaL">Saisies_Exploitation!$J$118</definedName>
    <definedName name="EN_NbMoVaLHe">Saisies_Exploitation!$K$118</definedName>
    <definedName name="EN_NbMoVaV">Saisies_Exploitation!$J$117</definedName>
    <definedName name="EN_NbMoVaVHe">Saisies_Exploitation!$K$117</definedName>
    <definedName name="EN_NbTauril">Saisies_Exploitation!$F$96</definedName>
    <definedName name="EN_NbTaurilA">Saisies_Exploitation!$E$96</definedName>
    <definedName name="EN_NbTaurilait">Saisies_Exploitation!$F$97</definedName>
    <definedName name="EN_NbTaurilL">Saisies_Exploitation!$D$97</definedName>
    <definedName name="EN_NbVaRefA">Saisies_Exploitation!$E$117</definedName>
    <definedName name="EN_NbVaRefL">Saisies_Exploitation!$F$118</definedName>
    <definedName name="EN_NbVaRefLait">Saisies_Exploitation!$D$118</definedName>
    <definedName name="EN_NbVaRefV">Saisies_Exploitation!$F$117</definedName>
    <definedName name="EN_NbVeauVd15j">Saisies_Exploitation!$E$68</definedName>
    <definedName name="EN_PdsAch">Saisies_Exploitation!$H$75</definedName>
    <definedName name="EN_PdsRepouFem">Saisies_Exploitation!$I$104</definedName>
    <definedName name="EN_PdsRepouMal">Saisies_Exploitation!$I$80</definedName>
    <definedName name="EN_PdsVd">Saisies_Exploitation!$H$74</definedName>
    <definedName name="EN_PdsVeauVd15j">Saisies_Exploitation!$H$68</definedName>
    <definedName name="EN_ProVive">Saisies_Exploitation!$N$127</definedName>
    <definedName name="EN_RepouFem">Saisies_Exploitation!$E$104</definedName>
    <definedName name="EN_RepouMal">Saisies_Exploitation!$E$80</definedName>
    <definedName name="EN_UgbGen30m">Saisies_Exploitation!$N$107</definedName>
    <definedName name="EN_UgbGen33m">Saisies_Exploitation!$N$108</definedName>
    <definedName name="EN_UgbGen36m">Saisies_Exploitation!$N$109</definedName>
    <definedName name="EN_UgbGenAn2">Saisies_Exploitation!$N$103</definedName>
    <definedName name="EN_UgbMal28m">Saisies_Exploitation!$N$84</definedName>
    <definedName name="EN_UgbMal30m">Saisies_Exploitation!$N$85</definedName>
    <definedName name="EN_UgbMal33m">Saisies_Exploitation!$N$86</definedName>
    <definedName name="EN_UgbMal36m">Saisies_Exploitation!$N$87</definedName>
    <definedName name="EN_UgbMalAn1">Saisies_Exploitation!$N$72</definedName>
    <definedName name="EN_UgbMalAn2">Saisies_Exploitation!$N$79</definedName>
    <definedName name="EN_UgbTauril">Saisies_Exploitation!$N$96</definedName>
    <definedName name="EN_UgbTaurilait">Saisies_Exploitation!$N$97</definedName>
    <definedName name="EN_UgbVaRefL">Saisies_Exploitation!$N$118</definedName>
    <definedName name="EN_UgbVaRefV">Saisies_Exploitation!$N$117</definedName>
    <definedName name="EN_Z1">Saisies_Exploitation!$D$79:$E$79</definedName>
    <definedName name="EN_Z10">Saisies_Exploitation!$H$112:$I$112</definedName>
    <definedName name="EN_Z2">Saisies_Exploitation!$D$91:$E$91</definedName>
    <definedName name="EN_Z3">Saisies_Exploitation!$D$84:$E$87</definedName>
    <definedName name="EN_Z4">Saisies_Exploitation!$H$84:$I$87</definedName>
    <definedName name="EN_Z5">Saisies_Exploitation!$D$103:$E$103</definedName>
    <definedName name="EN_Z6">Saisies_Exploitation!$H$91:$I$91</definedName>
    <definedName name="EN_Z7">Saisies_Exploitation!$D$107:$E$109</definedName>
    <definedName name="EN_Z8">Saisies_Exploitation!$H$107:$I$109</definedName>
    <definedName name="EN_Z9">Saisies_Exploitation!$D$112:$E$112</definedName>
    <definedName name="Ferti_Z1">Ferti_SAU!$A$8:$H$13</definedName>
    <definedName name="Ferti_Z2">Ferti_SAU!$A$17:$H$22</definedName>
    <definedName name="Ferti_Z3">Ferti_SAU!$A$32:$H$40</definedName>
    <definedName name="Ferti_Z4">Ferti_SAU!$K$25:$K$27</definedName>
    <definedName name="Haut">Pressions_Prairies!$D$31</definedName>
    <definedName name="HS_Can">Saisies_Exploitation!$J$252:$J$265</definedName>
    <definedName name="HS_Din">Saisies_Exploitation!$J$267:$J$275</definedName>
    <definedName name="HS_LapProE">Saisies_Exploitation!$D$289</definedName>
    <definedName name="HS_LapProN">Saisies_Exploitation!$D$288</definedName>
    <definedName name="HS_LapProNE">Saisies_Exploitation!$D$287</definedName>
    <definedName name="HS_LapRepN">Saisies_Exploitation!$J$288</definedName>
    <definedName name="HS_LapRepNE">Saisies_Exploitation!$J$287</definedName>
    <definedName name="HS_ModeLapin">Saisies_Exploitation!$AC$285</definedName>
    <definedName name="HS_Oie">Saisies_Exploitation!$D$270:$D$275</definedName>
    <definedName name="HS_Pin">Saisies_Exploitation!$J$277:$J$282</definedName>
    <definedName name="HS_PorAbb">Saisies_Exploitation!$D$249</definedName>
    <definedName name="HS_PorCoc">Saisies_Exploitation!$L$247</definedName>
    <definedName name="HS_PorCocBi">Saisies_Exploitation!$E$247</definedName>
    <definedName name="HS_PorCocCla">Saisies_Exploitation!$D$247</definedName>
    <definedName name="HS_PorComp">Saisies_Exploitation!$J$244:$J$247</definedName>
    <definedName name="HS_PorCrF">Saisies_Exploitation!$L$246</definedName>
    <definedName name="HS_PorCrFBi">Saisies_Exploitation!$E$246</definedName>
    <definedName name="HS_PorCrFCla">Saisies_Exploitation!$D$246</definedName>
    <definedName name="HS_PorLet">Saisies_Exploitation!$L$245</definedName>
    <definedName name="HS_PorLetBi">Saisies_Exploitation!$E$245</definedName>
    <definedName name="HS_PorLetCla">Saisies_Exploitation!$D$245</definedName>
    <definedName name="HS_PorSol">Saisies_Exploitation!$G$244:$I$247</definedName>
    <definedName name="HS_PorTru">Saisies_Exploitation!$L$244</definedName>
    <definedName name="HS_PorTruBi">Saisies_Exploitation!$E$244</definedName>
    <definedName name="HS_PorTruCla">Saisies_Exploitation!$D$244</definedName>
    <definedName name="HS_Pou">Saisies_Exploitation!$D$252:$D$268</definedName>
    <definedName name="HS_VeauBou">Saisies_Exploitation!$D$240</definedName>
    <definedName name="ID_1">Saisies_Exploitation!$D$3:$F$4</definedName>
    <definedName name="ID_2">Saisies_Exploitation!$I$3:$L$4</definedName>
    <definedName name="Mineral">Pressions_Prairies!$D$53</definedName>
    <definedName name="NatEffExp">Plan_Epandage!$F$30</definedName>
    <definedName name="NatEffExport">Plan_Epandage!$F$91</definedName>
    <definedName name="NatEffImp">Plan_Epandage!$F$42</definedName>
    <definedName name="NonExced">Plan_Epandage!$AB$9</definedName>
    <definedName name="Objectif">Plan_Epandage!$I$87</definedName>
    <definedName name="Pds_Croi">Pressions_Prairies!$D$41</definedName>
    <definedName name="Pds_Eng">Pressions_Prairies!$D$47</definedName>
    <definedName name="Plage1">Plan_Epandage!$AG$72:$AG$93</definedName>
    <definedName name="Plage2">Plan_Epandage!$AH$72:$AH$93</definedName>
    <definedName name="Plage3">Plan_Epandage!$AG$118:$AG$139</definedName>
    <definedName name="Plage4">Plan_Epandage!$AH$118:$AH$139</definedName>
    <definedName name="Priorite_Epand1">Plan_Epandage!$AB$50</definedName>
    <definedName name="Priorite_Epand2">Plan_Epandage!$AB$99</definedName>
    <definedName name="QuaNExport">Plan_Epandage!$D$28</definedName>
    <definedName name="Race_Croi">Pressions_Prairies!$AB$41</definedName>
    <definedName name="Race_Eng">Pressions_Prairies!$AB$46</definedName>
    <definedName name="RE_1">Achats!$F$6:$G$8</definedName>
    <definedName name="RE_10">Achats!$F$68:$G$70</definedName>
    <definedName name="RE_11">Achats!$F$72:$G$74</definedName>
    <definedName name="RE_12">Achats!$F$76:$G$78</definedName>
    <definedName name="RE_13">Achats!$F$80:$G$82</definedName>
    <definedName name="RE_14">Achats!$F$24:$G$26</definedName>
    <definedName name="RE_15">Achats!$F$28:$G$30</definedName>
    <definedName name="RE_16">Achats!$F$32:$G$34</definedName>
    <definedName name="RE_17">Achats!$F$36:$G$38</definedName>
    <definedName name="RE_18">Achats!$F$40:$G$42</definedName>
    <definedName name="RE_2">Achats!$F$10:$G$12</definedName>
    <definedName name="RE_3">Achats!$F$14:$G$16</definedName>
    <definedName name="RE_4">Achats!$F$18:$G$20</definedName>
    <definedName name="RE_5">Achats!$F$46:$G$48</definedName>
    <definedName name="RE_6">Achats!$F$50:$G$52</definedName>
    <definedName name="RE_7">Achats!$F$54:$G$56</definedName>
    <definedName name="RE_8">Achats!$F$58:$G$60</definedName>
    <definedName name="RE_9">Achats!$F$64:$G$66</definedName>
    <definedName name="SA_CA">Saisies_Exploitation!$D$35</definedName>
    <definedName name="SA_CA_Auto">Saisies_Exploitation!$D$36</definedName>
    <definedName name="SA_CA_Bette">Saisies_Exploitation!$D$39</definedName>
    <definedName name="SA_CA_Cerea">Saisies_Exploitation!$D$38</definedName>
    <definedName name="SA_CA_Divers">Saisies_Exploitation!$D$41</definedName>
    <definedName name="SA_CA_MaisG">Saisies_Exploitation!$D$37</definedName>
    <definedName name="SA_CA_Prote">Saisies_Exploitation!$D$40</definedName>
    <definedName name="SA_Cipan">Saisies_Exploitation!$H$39</definedName>
    <definedName name="SA_CultEpand">Saisies_Exploitation!$F$14</definedName>
    <definedName name="SA_Herbe_Vache">Saisies_Exploitation!$AF$24</definedName>
    <definedName name="SA_Jachere">Saisies_Exploitation!$D$10</definedName>
    <definedName name="SA_PECAEp">Saisies_Exploitation!$D$14</definedName>
    <definedName name="SA_PEnonEp">Saisies_Exploitation!$D$16</definedName>
    <definedName name="SA_PEPrEp">Saisies_Exploitation!$D$15</definedName>
    <definedName name="SA_PraiEpand">Saisies_Exploitation!$F$15</definedName>
    <definedName name="SA_SAMO">Saisies_Exploitation!$F$18</definedName>
    <definedName name="SA_SAUnette">Saisies_Exploitation!$F$10</definedName>
    <definedName name="SA_SAUtotale">Saisies_Exploitation!$D$8</definedName>
    <definedName name="SA_SFP">Saisies_Exploitation!$F$20</definedName>
    <definedName name="SA_SFP_AutoPc">Saisies_Exploitation!$J$37</definedName>
    <definedName name="SA_SFP_GA_Cereales">Saisies_Exploitation!$D$29</definedName>
    <definedName name="SA_SFP_GA_DivFou">Saisies_Exploitation!$D$32</definedName>
    <definedName name="SA_SFP_GA_MaisGrain">Saisies_Exploitation!$D$31</definedName>
    <definedName name="SA_SFP_GA_PoisLupins">Saisies_Exploitation!$D$30</definedName>
    <definedName name="SA_SFP_Herbe">Saisies_Exploitation!$D$24</definedName>
    <definedName name="SA_SFP_HerbePc">Saisies_Exploitation!$J$31</definedName>
    <definedName name="SA_SFP_HerbeVAL">Saisies_Exploitation!$H$25</definedName>
    <definedName name="SA_SFP_HerbeVL">Saisies_Exploitation!$H$24</definedName>
    <definedName name="SA_SFP_Luz">Saisies_Exploitation!$D$26</definedName>
    <definedName name="SA_SFP_Mais">Saisies_Exploitation!$D$27</definedName>
    <definedName name="SA_SFP_MaisPc">Saisies_Exploitation!$J$35</definedName>
    <definedName name="SA_SFP_Perma">Saisies_Exploitation!$D$25</definedName>
    <definedName name="SA_SFPc">Saisies_Exploitation!$F$21</definedName>
    <definedName name="SA_SPE">Saisies_Exploitation!$F$13</definedName>
    <definedName name="SB_1">Saisie_Bilan!$C$10:$C$35</definedName>
    <definedName name="SB_10">Saisie_Bilan!$C$123:$C$134</definedName>
    <definedName name="SB_11">Saisie_Bilan!$C$137:$C$152</definedName>
    <definedName name="SB_12">Saisie_Bilan!$C$120</definedName>
    <definedName name="SB_13">Saisie_Bilan!$H$137</definedName>
    <definedName name="SB_14">Saisie_Bilan!$E$159:$F$163</definedName>
    <definedName name="SB_15">Saisie_Bilan!$E$165:$F$170</definedName>
    <definedName name="SB_16">Saisie_Bilan!$E$172:$F$175</definedName>
    <definedName name="SB_17">Saisie_Bilan!$E$178:$F$182</definedName>
    <definedName name="SB_18">Saisie_Bilan!$E$184:$F$189</definedName>
    <definedName name="SB_19">Saisie_Bilan!$E$191:$F$194</definedName>
    <definedName name="SB_2">Saisie_Bilan!$E$39</definedName>
    <definedName name="SB_20">Saisie_Bilan!$E$41</definedName>
    <definedName name="SB_3">Saisie_Bilan!$E$44:$E$45</definedName>
    <definedName name="SB_4">Saisie_Bilan!$G$44:$G$45</definedName>
    <definedName name="SB_5">Saisie_Bilan!$E$47:$E$56</definedName>
    <definedName name="SB_6">Saisie_Bilan!$E$59:$E$98</definedName>
    <definedName name="SB_7">Saisie_Bilan!$E$101:$E$106</definedName>
    <definedName name="SB_8">Saisie_Bilan!$C$110:$C$115</definedName>
    <definedName name="SB_9">Saisie_Bilan!$C$118</definedName>
    <definedName name="Sous_type1_1">Plan_Epandage!$F$67</definedName>
    <definedName name="Sous_type1_2">Plan_Epandage!$F$114</definedName>
    <definedName name="Sous_type2_1">Plan_Epandage!$F$68</definedName>
    <definedName name="Sous_type2_2">Plan_Epandage!$F$115</definedName>
    <definedName name="Surface1">Plan_Epandage!$F$55:$F$59</definedName>
    <definedName name="Surface2">Plan_Epandage!$F$73:$F$77</definedName>
    <definedName name="Surface3">Plan_Epandage!$F$102:$F$106</definedName>
    <definedName name="Surface4">Plan_Epandage!$F$119:$F$123</definedName>
    <definedName name="SurfOff">Pressions_Prairies!$D$32</definedName>
    <definedName name="TA_FormGen">Saisies_Exploitation!$AC$62</definedName>
    <definedName name="TA_FormVach">Saisies_Exploitation!$AC$55</definedName>
    <definedName name="TA_NbGenAn1">Saisies_Exploitation!$D$56</definedName>
    <definedName name="TA_NbGenAn1Ach">Saisies_Exploitation!$D$58</definedName>
    <definedName name="TA_NbGenAn1Vd">Saisies_Exploitation!$D$57</definedName>
    <definedName name="TA_NbGenAn2">Saisies_Exploitation!$D$60</definedName>
    <definedName name="TA_NbGenAn3">Saisies_Exploitation!$D$62</definedName>
    <definedName name="TA_NbVaches">Saisies_Exploitation!$D$55</definedName>
    <definedName name="TA_NbVelaGen">Saisies_Exploitation!$D$65</definedName>
    <definedName name="TA_PdsAch">Saisies_Exploitation!$G$58</definedName>
    <definedName name="TA_PdsGeVel">Saisies_Exploitation!$H$64</definedName>
    <definedName name="TA_PdsVd">Saisies_Exploitation!$G$57</definedName>
    <definedName name="TA_PdsVend">Saisies_Exploitation!$G$57</definedName>
    <definedName name="TA_TypeVela">Saisies_Exploitation!$AC$63</definedName>
    <definedName name="TA_UgbGenAn1">Saisies_Exploitation!$M$58</definedName>
    <definedName name="TA_UgbGenAn2">Saisies_Exploitation!$M$60</definedName>
    <definedName name="TA_UgbGenAn3">Saisies_Exploitation!$M$62</definedName>
    <definedName name="TA_UgbVL">Saisies_Exploitation!$M$55</definedName>
    <definedName name="TotNImport">Plan_Epandage!$D$40</definedName>
    <definedName name="TotNImportPra">Plan_Epandage!$J$40</definedName>
    <definedName name="Toupie_1">Plan_Epandage!$AF$69</definedName>
    <definedName name="Toupie_2">Plan_Epandage!$AF$116</definedName>
    <definedName name="Type1_1">Plan_Epandage!$D$67</definedName>
    <definedName name="Type1_2">Plan_Epandage!$D$114</definedName>
    <definedName name="Type2_1">Plan_Epandage!$D$68</definedName>
    <definedName name="Type2_2">Plan_Epandage!$D$115</definedName>
    <definedName name="UEL">Pressions_Prairies!$D$30</definedName>
    <definedName name="Ugb_Tot">Saisies_Exploitation!$N$124</definedName>
    <definedName name="VaAS_Age">Ferti_Prairies!$P$22</definedName>
    <definedName name="VaAS_Atmosph">Ferti_Prairies!$O$33</definedName>
    <definedName name="VaAS_Dose">Ferti_Prairies!$O$62</definedName>
    <definedName name="VaAS_Effl">Ferti_Prairies!$N$62</definedName>
    <definedName name="VaAS_Fert">Ferti_Prairies!$P$24</definedName>
    <definedName name="VaAS_FOrg">Ferti_Prairies!$P$49</definedName>
    <definedName name="VaAS_K2O">Ferti_Prairies!$R$62</definedName>
    <definedName name="VaAS_N">Ferti_Prairies!$P$62</definedName>
    <definedName name="VaAS_P2O5">Ferti_Prairies!$Q$62</definedName>
    <definedName name="VaAS_Patu">Ferti_Prairies!$N$11</definedName>
    <definedName name="VaAS_Prod">Ferti_Prairies!$P$28</definedName>
    <definedName name="VaAS_Rdt">Ferti_Prairies!$R$11</definedName>
    <definedName name="VaAS_Sol">Ferti_Prairies!$P$20</definedName>
    <definedName name="VaAS_Tref">Ferti_Prairies!$P$30</definedName>
    <definedName name="VaGP_Age">Ferti_Prairies!$E$22</definedName>
    <definedName name="VaGP_Atmosph">Ferti_Prairies!$D$33</definedName>
    <definedName name="VaGP_Dose">Ferti_Prairies!$D$62</definedName>
    <definedName name="VaGP_Effl">Ferti_Prairies!$C$62</definedName>
    <definedName name="VaGP_Fert">Ferti_Prairies!$E$24</definedName>
    <definedName name="VaGP_FOrg">Ferti_Prairies!$E$49</definedName>
    <definedName name="VaGP_K2O">Ferti_Prairies!$G$62</definedName>
    <definedName name="VaGP_N">Ferti_Prairies!$E$62</definedName>
    <definedName name="VaGP_P2O5">Ferti_Prairies!$F$62</definedName>
    <definedName name="VaGP_Patu">Ferti_Prairies!$C$11</definedName>
    <definedName name="VaGP_Rdt">Ferti_Prairies!$G$11</definedName>
    <definedName name="VaGP_Sol">Ferti_Prairies!$E$20</definedName>
    <definedName name="VL_AgeVelPre">Saisies_Exploitation!$H$49</definedName>
    <definedName name="VL_ClaVelPre">Saisies_Exploitation!$AF$50</definedName>
    <definedName name="VL_Litrage">Saisies_Exploitation!$H$44</definedName>
    <definedName name="VL_NbGenAn1">Saisies_Exploitation!$D$47</definedName>
    <definedName name="VL_NbGenAn2">Saisies_Exploitation!$D$48</definedName>
    <definedName name="VL_NbGenAn3">Saisies_Exploitation!$D$49</definedName>
    <definedName name="VL_NbVaches">Saisies_Exploitation!$D$46</definedName>
    <definedName name="VL_NbVelaGen">Saisies_Exploitation!$D$51</definedName>
    <definedName name="VL_PdsGeVel">Saisies_Exploitation!$H$50</definedName>
    <definedName name="VL_TB">Saisies_Exploitation!$H$45</definedName>
    <definedName name="VL_TypeVela">Saisies_Exploitation!$AC$45</definedName>
    <definedName name="VL_UgbGenAn1">Saisies_Exploitation!$L$47</definedName>
    <definedName name="VL_UgbGenAn2">Saisies_Exploitation!$L$48</definedName>
    <definedName name="VL_UgbGenAn3">Saisies_Exploitation!$L$49</definedName>
    <definedName name="VL_UgbVL">Saisies_Exploitation!$L$46</definedName>
  </definedNames>
  <calcPr calcId="152511"/>
</workbook>
</file>

<file path=xl/calcChain.xml><?xml version="1.0" encoding="utf-8"?>
<calcChain xmlns="http://schemas.openxmlformats.org/spreadsheetml/2006/main">
  <c r="AM49" i="1" l="1"/>
  <c r="J35" i="15" l="1"/>
  <c r="J34" i="15"/>
  <c r="J29" i="15"/>
  <c r="J28" i="15"/>
  <c r="O219" i="1"/>
  <c r="O215" i="1"/>
  <c r="N91" i="17" l="1"/>
  <c r="P60" i="17" l="1"/>
  <c r="E60" i="17"/>
  <c r="AG35" i="18" l="1"/>
  <c r="AG40" i="18" l="1"/>
  <c r="AP37" i="18"/>
  <c r="AQ37" i="18"/>
  <c r="AP38" i="18"/>
  <c r="AQ38" i="18"/>
  <c r="AP39" i="18"/>
  <c r="AQ39" i="18"/>
  <c r="AP40" i="18"/>
  <c r="AQ40" i="18"/>
  <c r="AP41" i="18"/>
  <c r="AQ41" i="18"/>
  <c r="AP42" i="18"/>
  <c r="AQ42" i="18"/>
  <c r="AP43" i="18"/>
  <c r="AQ43" i="18"/>
  <c r="AP44" i="18"/>
  <c r="AQ44" i="18"/>
  <c r="AP45" i="18"/>
  <c r="AQ45" i="18"/>
  <c r="AP46" i="18"/>
  <c r="AQ46" i="18"/>
  <c r="AP47" i="18"/>
  <c r="AQ47" i="18"/>
  <c r="AP48" i="18"/>
  <c r="AQ48" i="18"/>
  <c r="AP49" i="18"/>
  <c r="AQ49" i="18"/>
  <c r="AP50" i="18"/>
  <c r="AQ50" i="18"/>
  <c r="AP51" i="18"/>
  <c r="AQ51" i="18"/>
  <c r="AP52" i="18"/>
  <c r="AQ52" i="18"/>
  <c r="AP53" i="18"/>
  <c r="AQ53" i="18"/>
  <c r="AP54" i="18"/>
  <c r="AQ54" i="18"/>
  <c r="AP55" i="18"/>
  <c r="AQ55" i="18"/>
  <c r="AP56" i="18"/>
  <c r="AQ56" i="18"/>
  <c r="AP57" i="18"/>
  <c r="AQ57" i="18"/>
  <c r="AP58" i="18"/>
  <c r="AQ58" i="18"/>
  <c r="AP59" i="18"/>
  <c r="AQ59" i="18"/>
  <c r="AP60" i="18"/>
  <c r="AQ60" i="18"/>
  <c r="AP61" i="18"/>
  <c r="AQ61" i="18"/>
  <c r="AP62" i="18"/>
  <c r="AQ62" i="18"/>
  <c r="AO37" i="18"/>
  <c r="AO38" i="18"/>
  <c r="AO39" i="18"/>
  <c r="AO40" i="18"/>
  <c r="AO41" i="18"/>
  <c r="AO42" i="18"/>
  <c r="AO43" i="18"/>
  <c r="AO44" i="18"/>
  <c r="AO45" i="18"/>
  <c r="AO46" i="18"/>
  <c r="AO47" i="18"/>
  <c r="AO48" i="18"/>
  <c r="AO49" i="18"/>
  <c r="AO50" i="18"/>
  <c r="AO51" i="18"/>
  <c r="AO52" i="18"/>
  <c r="AO53" i="18"/>
  <c r="AO54" i="18"/>
  <c r="AO55" i="18"/>
  <c r="AO56" i="18"/>
  <c r="AO57" i="18"/>
  <c r="AO58" i="18"/>
  <c r="AO59" i="18"/>
  <c r="AO60" i="18"/>
  <c r="AO61" i="18"/>
  <c r="AO62" i="18"/>
  <c r="AA77" i="17" l="1"/>
  <c r="AA78" i="17"/>
  <c r="AA79" i="17"/>
  <c r="AA72" i="17"/>
  <c r="AA73" i="17"/>
  <c r="AA71" i="17"/>
  <c r="AF71" i="17"/>
  <c r="AF87" i="17"/>
  <c r="AF86" i="17"/>
  <c r="AF85" i="17"/>
  <c r="F13" i="1" l="1"/>
  <c r="F10" i="1"/>
  <c r="C166" i="24" s="1"/>
  <c r="F15" i="1"/>
  <c r="F14" i="1"/>
  <c r="F18" i="1" l="1"/>
  <c r="EN96" i="19"/>
  <c r="EM96" i="19"/>
  <c r="EK96" i="19"/>
  <c r="EJ96" i="19"/>
  <c r="EH96" i="19"/>
  <c r="EG96" i="19"/>
  <c r="EN95" i="19"/>
  <c r="EM95" i="19"/>
  <c r="EK95" i="19"/>
  <c r="EJ95" i="19"/>
  <c r="EH95" i="19"/>
  <c r="EG95" i="19"/>
  <c r="EN90" i="19"/>
  <c r="EM90" i="19"/>
  <c r="EK90" i="19"/>
  <c r="EJ90" i="19"/>
  <c r="EH90" i="19"/>
  <c r="EG90" i="19"/>
  <c r="EN89" i="19"/>
  <c r="EM89" i="19"/>
  <c r="EK89" i="19"/>
  <c r="EJ89" i="19"/>
  <c r="EH89" i="19"/>
  <c r="EG89" i="19"/>
  <c r="E149" i="6" l="1"/>
  <c r="E148" i="6"/>
  <c r="E144" i="6"/>
  <c r="E143" i="6"/>
  <c r="AF110" i="6"/>
  <c r="AF109" i="6"/>
  <c r="AF101" i="6"/>
  <c r="AF100" i="6"/>
  <c r="V54" i="6"/>
  <c r="V110" i="6" s="1"/>
  <c r="V149" i="6" s="1"/>
  <c r="V22" i="6" s="1"/>
  <c r="AL22" i="6" s="1"/>
  <c r="U54" i="6"/>
  <c r="V53" i="6"/>
  <c r="U53" i="6"/>
  <c r="S54" i="6"/>
  <c r="S110" i="6" s="1"/>
  <c r="S149" i="6" s="1"/>
  <c r="S22" i="6" s="1"/>
  <c r="AK22" i="6" s="1"/>
  <c r="R54" i="6"/>
  <c r="S53" i="6"/>
  <c r="R53" i="6"/>
  <c r="R109" i="6" s="1"/>
  <c r="R148" i="6" s="1"/>
  <c r="R21" i="6" s="1"/>
  <c r="P54" i="6"/>
  <c r="P110" i="6" s="1"/>
  <c r="P149" i="6" s="1"/>
  <c r="P22" i="6" s="1"/>
  <c r="AJ22" i="6" s="1"/>
  <c r="O54" i="6"/>
  <c r="P53" i="6"/>
  <c r="O53" i="6"/>
  <c r="O109" i="6" s="1"/>
  <c r="O148" i="6" s="1"/>
  <c r="O21" i="6" s="1"/>
  <c r="V49" i="6"/>
  <c r="U49" i="6"/>
  <c r="V48" i="6"/>
  <c r="U48" i="6"/>
  <c r="S49" i="6"/>
  <c r="R49" i="6"/>
  <c r="S48" i="6"/>
  <c r="R48" i="6"/>
  <c r="P49" i="6"/>
  <c r="O49" i="6"/>
  <c r="P48" i="6"/>
  <c r="O48" i="6"/>
  <c r="AI16" i="6"/>
  <c r="AI22" i="6"/>
  <c r="AI21" i="6"/>
  <c r="AI17" i="6"/>
  <c r="P101" i="6" l="1"/>
  <c r="P144" i="6" s="1"/>
  <c r="P17" i="6" s="1"/>
  <c r="AJ17" i="6" s="1"/>
  <c r="S101" i="6"/>
  <c r="S144" i="6" s="1"/>
  <c r="S17" i="6" s="1"/>
  <c r="AK17" i="6" s="1"/>
  <c r="V101" i="6"/>
  <c r="V144" i="6" s="1"/>
  <c r="V17" i="6" s="1"/>
  <c r="AL17" i="6" s="1"/>
  <c r="U109" i="6"/>
  <c r="U148" i="6" s="1"/>
  <c r="U21" i="6" s="1"/>
  <c r="O101" i="6"/>
  <c r="O144" i="6" s="1"/>
  <c r="O17" i="6" s="1"/>
  <c r="U101" i="6"/>
  <c r="U144" i="6" s="1"/>
  <c r="U17" i="6" s="1"/>
  <c r="O110" i="6"/>
  <c r="R110" i="6"/>
  <c r="U110" i="6"/>
  <c r="V109" i="6"/>
  <c r="P109" i="6"/>
  <c r="S109" i="6"/>
  <c r="P100" i="6"/>
  <c r="P143" i="6" s="1"/>
  <c r="P16" i="6" s="1"/>
  <c r="AM16" i="6" s="1"/>
  <c r="S100" i="6"/>
  <c r="S143" i="6" s="1"/>
  <c r="S16" i="6" s="1"/>
  <c r="AN16" i="6" s="1"/>
  <c r="V100" i="6"/>
  <c r="V143" i="6" s="1"/>
  <c r="V16" i="6" s="1"/>
  <c r="AO16" i="6" s="1"/>
  <c r="R101" i="6"/>
  <c r="U100" i="6"/>
  <c r="O100" i="6"/>
  <c r="N101" i="6"/>
  <c r="N144" i="6" s="1"/>
  <c r="N17" i="6" s="1"/>
  <c r="R100" i="6"/>
  <c r="R143" i="6" s="1"/>
  <c r="R16" i="6" s="1"/>
  <c r="N48" i="6"/>
  <c r="N49" i="6"/>
  <c r="Q48" i="6"/>
  <c r="Q49" i="6"/>
  <c r="T48" i="6"/>
  <c r="T49" i="6"/>
  <c r="N53" i="6"/>
  <c r="N54" i="6"/>
  <c r="Q53" i="6"/>
  <c r="Q54" i="6"/>
  <c r="T53" i="6"/>
  <c r="T54" i="6"/>
  <c r="AF50" i="21"/>
  <c r="I52" i="21" s="1"/>
  <c r="T101" i="6" l="1"/>
  <c r="T144" i="6" s="1"/>
  <c r="T17" i="6" s="1"/>
  <c r="T100" i="6"/>
  <c r="T143" i="6" s="1"/>
  <c r="T16" i="6" s="1"/>
  <c r="U143" i="6"/>
  <c r="U16" i="6" s="1"/>
  <c r="Q101" i="6"/>
  <c r="Q144" i="6" s="1"/>
  <c r="Q17" i="6" s="1"/>
  <c r="R144" i="6"/>
  <c r="R17" i="6" s="1"/>
  <c r="T109" i="6"/>
  <c r="T148" i="6" s="1"/>
  <c r="T21" i="6" s="1"/>
  <c r="V148" i="6"/>
  <c r="V21" i="6" s="1"/>
  <c r="AO21" i="6" s="1"/>
  <c r="T110" i="6"/>
  <c r="T149" i="6" s="1"/>
  <c r="T22" i="6" s="1"/>
  <c r="U149" i="6"/>
  <c r="U22" i="6" s="1"/>
  <c r="Q109" i="6"/>
  <c r="Q148" i="6" s="1"/>
  <c r="Q21" i="6" s="1"/>
  <c r="S148" i="6"/>
  <c r="S21" i="6" s="1"/>
  <c r="AN21" i="6" s="1"/>
  <c r="Q110" i="6"/>
  <c r="Q149" i="6" s="1"/>
  <c r="Q22" i="6" s="1"/>
  <c r="R149" i="6"/>
  <c r="R22" i="6" s="1"/>
  <c r="N109" i="6"/>
  <c r="N148" i="6" s="1"/>
  <c r="N21" i="6" s="1"/>
  <c r="P148" i="6"/>
  <c r="P21" i="6" s="1"/>
  <c r="AM21" i="6" s="1"/>
  <c r="N100" i="6"/>
  <c r="N143" i="6" s="1"/>
  <c r="N16" i="6" s="1"/>
  <c r="O143" i="6"/>
  <c r="O16" i="6" s="1"/>
  <c r="N110" i="6"/>
  <c r="N149" i="6" s="1"/>
  <c r="N22" i="6" s="1"/>
  <c r="O149" i="6"/>
  <c r="O22" i="6" s="1"/>
  <c r="Q100" i="6"/>
  <c r="Q143" i="6" s="1"/>
  <c r="Q16" i="6" s="1"/>
  <c r="AL23" i="22" l="1"/>
  <c r="AK23" i="22"/>
  <c r="AJ23" i="22"/>
  <c r="AI23" i="22"/>
  <c r="AL22" i="22"/>
  <c r="AK22" i="22"/>
  <c r="AJ22" i="22"/>
  <c r="AI22" i="22"/>
  <c r="AL16" i="22"/>
  <c r="AK16" i="22"/>
  <c r="AJ16" i="22"/>
  <c r="AI16" i="22"/>
  <c r="AL15" i="22"/>
  <c r="AK15" i="22"/>
  <c r="AJ15" i="22"/>
  <c r="AI15" i="22"/>
  <c r="AL9" i="22"/>
  <c r="AK9" i="22"/>
  <c r="AJ9" i="22"/>
  <c r="AI9" i="22"/>
  <c r="AL8" i="22"/>
  <c r="AK8" i="22"/>
  <c r="AJ8" i="22"/>
  <c r="AI8" i="22"/>
  <c r="J12" i="18" l="1"/>
  <c r="AK37" i="18" l="1"/>
  <c r="AL37" i="18"/>
  <c r="AM37" i="18"/>
  <c r="AN37" i="18"/>
  <c r="AK38" i="18"/>
  <c r="AL38" i="18"/>
  <c r="AM38" i="18"/>
  <c r="AN38" i="18"/>
  <c r="AK61" i="18"/>
  <c r="AL61" i="18"/>
  <c r="AM61" i="18"/>
  <c r="AN61" i="18"/>
  <c r="AK62" i="18"/>
  <c r="AL62" i="18"/>
  <c r="AM62" i="18"/>
  <c r="AN62" i="18"/>
  <c r="AQ126" i="19"/>
  <c r="AQ127" i="19"/>
  <c r="AQ102" i="19"/>
  <c r="AQ103" i="19"/>
  <c r="BH73" i="18" l="1"/>
  <c r="BB112" i="1" l="1"/>
  <c r="BF112" i="1" s="1"/>
  <c r="BA112" i="1"/>
  <c r="BE112" i="1" s="1"/>
  <c r="BD112" i="1" s="1"/>
  <c r="F112" i="1"/>
  <c r="AZ112" i="1" l="1"/>
  <c r="AX13" i="22" l="1"/>
  <c r="AY13" i="22"/>
  <c r="AZ13" i="22"/>
  <c r="AX14" i="22"/>
  <c r="AY14" i="22"/>
  <c r="AZ14" i="22"/>
  <c r="AX15" i="22"/>
  <c r="AY15" i="22"/>
  <c r="AZ15" i="22"/>
  <c r="AW14" i="22"/>
  <c r="AW15" i="22"/>
  <c r="AW13" i="22"/>
  <c r="AX20" i="22"/>
  <c r="AY20" i="22"/>
  <c r="AZ20" i="22"/>
  <c r="AX21" i="22"/>
  <c r="AY21" i="22"/>
  <c r="AZ21" i="22"/>
  <c r="AX22" i="22"/>
  <c r="AY22" i="22"/>
  <c r="AZ22" i="22"/>
  <c r="AW21" i="22"/>
  <c r="AW22" i="22"/>
  <c r="AW20" i="22"/>
  <c r="AX7" i="22"/>
  <c r="AY7" i="22"/>
  <c r="AZ7" i="22"/>
  <c r="AX8" i="22"/>
  <c r="AY8" i="22"/>
  <c r="AZ8" i="22"/>
  <c r="AX9" i="22"/>
  <c r="AY9" i="22"/>
  <c r="AZ9" i="22"/>
  <c r="AW8" i="22"/>
  <c r="AW9" i="22"/>
  <c r="AW7" i="22"/>
  <c r="AR20" i="22"/>
  <c r="AS20" i="22"/>
  <c r="AT20" i="22"/>
  <c r="AR21" i="22"/>
  <c r="AS21" i="22"/>
  <c r="AT21" i="22"/>
  <c r="AR22" i="22"/>
  <c r="AS22" i="22"/>
  <c r="AT22" i="22"/>
  <c r="AR23" i="22"/>
  <c r="AS23" i="22"/>
  <c r="AT23" i="22"/>
  <c r="AQ21" i="22"/>
  <c r="AQ22" i="22"/>
  <c r="AQ23" i="22"/>
  <c r="AQ20" i="22"/>
  <c r="AR13" i="22"/>
  <c r="AS13" i="22"/>
  <c r="AT13" i="22"/>
  <c r="AR14" i="22"/>
  <c r="AS14" i="22"/>
  <c r="AT14" i="22"/>
  <c r="AR15" i="22"/>
  <c r="AS15" i="22"/>
  <c r="AT15" i="22"/>
  <c r="AR16" i="22"/>
  <c r="AS16" i="22"/>
  <c r="AT16" i="22"/>
  <c r="AQ14" i="22"/>
  <c r="AQ15" i="22"/>
  <c r="AQ16" i="22"/>
  <c r="AQ13" i="22"/>
  <c r="AR7" i="22"/>
  <c r="AS7" i="22"/>
  <c r="AT7" i="22"/>
  <c r="AR8" i="22"/>
  <c r="AS8" i="22"/>
  <c r="AT8" i="22"/>
  <c r="AR9" i="22"/>
  <c r="AS9" i="22"/>
  <c r="AT9" i="22"/>
  <c r="AR10" i="22"/>
  <c r="AS10" i="22"/>
  <c r="AT10" i="22"/>
  <c r="AQ8" i="22"/>
  <c r="AQ9" i="22"/>
  <c r="AQ10" i="22"/>
  <c r="AQ7" i="22"/>
  <c r="C41" i="30"/>
  <c r="C40" i="30"/>
  <c r="C38" i="30"/>
  <c r="C36" i="30"/>
  <c r="C35" i="30"/>
  <c r="C33" i="30"/>
  <c r="AD23" i="22" l="1"/>
  <c r="AD16" i="22"/>
  <c r="AD9" i="22"/>
  <c r="AC23" i="22"/>
  <c r="AC24" i="22"/>
  <c r="AC16" i="22"/>
  <c r="AC17" i="22"/>
  <c r="AC9" i="22"/>
  <c r="AC10" i="22"/>
  <c r="H23" i="22" l="1"/>
  <c r="I23" i="22"/>
  <c r="H16" i="22"/>
  <c r="I16" i="22"/>
  <c r="I9" i="22"/>
  <c r="H9" i="22"/>
  <c r="L23" i="22" l="1"/>
  <c r="K23" i="22"/>
  <c r="J23" i="22"/>
  <c r="J16" i="22"/>
  <c r="K16" i="22"/>
  <c r="L16" i="22"/>
  <c r="AA9" i="22"/>
  <c r="L9" i="22"/>
  <c r="K9" i="22"/>
  <c r="J9" i="22"/>
  <c r="AA23" i="22"/>
  <c r="AA16" i="22"/>
  <c r="AN23" i="22"/>
  <c r="AI24" i="22"/>
  <c r="AJ24" i="22"/>
  <c r="AK24" i="22"/>
  <c r="AL24" i="22"/>
  <c r="AN16" i="22"/>
  <c r="AI17" i="22"/>
  <c r="AJ17" i="22"/>
  <c r="AK17" i="22"/>
  <c r="AL17" i="22"/>
  <c r="AN9" i="22"/>
  <c r="AI10" i="22"/>
  <c r="AJ10" i="22"/>
  <c r="AK10" i="22"/>
  <c r="AL10" i="22"/>
  <c r="D49" i="14" l="1"/>
  <c r="D43" i="14"/>
  <c r="C37" i="14"/>
  <c r="D37" i="14"/>
  <c r="B54" i="21" l="1"/>
  <c r="D181" i="29" l="1"/>
  <c r="D178" i="29"/>
  <c r="C39" i="30" l="1"/>
  <c r="O173" i="1" l="1"/>
  <c r="C34" i="30" s="1"/>
  <c r="BA68" i="1"/>
  <c r="AC73" i="24" l="1"/>
  <c r="AB73" i="24"/>
  <c r="AB71" i="24"/>
  <c r="H74" i="15"/>
  <c r="H73" i="15"/>
  <c r="H72" i="15"/>
  <c r="F74" i="15"/>
  <c r="F73" i="15"/>
  <c r="F72" i="15"/>
  <c r="F71" i="15"/>
  <c r="F67" i="15"/>
  <c r="F66" i="15"/>
  <c r="F65" i="15"/>
  <c r="F64" i="15"/>
  <c r="AQ70" i="26"/>
  <c r="AQ69" i="26"/>
  <c r="AO70" i="26"/>
  <c r="AO69" i="26"/>
  <c r="AN70" i="26"/>
  <c r="AQ67" i="26"/>
  <c r="AQ66" i="26"/>
  <c r="AO67" i="26"/>
  <c r="AO66" i="26"/>
  <c r="AF89" i="6"/>
  <c r="AF88" i="6"/>
  <c r="AF96" i="6"/>
  <c r="AF95" i="6"/>
  <c r="AA221" i="1"/>
  <c r="AR70" i="26" l="1"/>
  <c r="F75" i="15"/>
  <c r="AN69" i="26"/>
  <c r="AR69" i="26" s="1"/>
  <c r="AR71" i="26" s="1"/>
  <c r="AD73" i="24"/>
  <c r="H71" i="15"/>
  <c r="AP70" i="26"/>
  <c r="AK16" i="21"/>
  <c r="AK17" i="21"/>
  <c r="AK18" i="21"/>
  <c r="AK19" i="21"/>
  <c r="AK20" i="21"/>
  <c r="AK21" i="21"/>
  <c r="AK22" i="21"/>
  <c r="AK23" i="21"/>
  <c r="AK24" i="21"/>
  <c r="AK25" i="21"/>
  <c r="AK26" i="21"/>
  <c r="AK27" i="21"/>
  <c r="AK28" i="21"/>
  <c r="AK29" i="21"/>
  <c r="AK30" i="21"/>
  <c r="AK31" i="21"/>
  <c r="AK32" i="21"/>
  <c r="AK33" i="21"/>
  <c r="AK34" i="21"/>
  <c r="AK35" i="21"/>
  <c r="AK36" i="21"/>
  <c r="AK37" i="21"/>
  <c r="AK38" i="21"/>
  <c r="AK39" i="21"/>
  <c r="AK15" i="21"/>
  <c r="AC10" i="30"/>
  <c r="AC11" i="30"/>
  <c r="AC12" i="30"/>
  <c r="AC13" i="30"/>
  <c r="AC14" i="30"/>
  <c r="AC15" i="30"/>
  <c r="AC16" i="30"/>
  <c r="AC17" i="30"/>
  <c r="AC18" i="30"/>
  <c r="AC19" i="30"/>
  <c r="AC20" i="30"/>
  <c r="AC21" i="30"/>
  <c r="AC22" i="30"/>
  <c r="AC23" i="30"/>
  <c r="AC24" i="30"/>
  <c r="AC25" i="30"/>
  <c r="AC26" i="30"/>
  <c r="AC27" i="30"/>
  <c r="AC28" i="30"/>
  <c r="AC29" i="30"/>
  <c r="AC30" i="30"/>
  <c r="AC31" i="30"/>
  <c r="AC32" i="30"/>
  <c r="AC33" i="30"/>
  <c r="AC9" i="30"/>
  <c r="AP69" i="26" l="1"/>
  <c r="AP71" i="26" s="1"/>
  <c r="AI46" i="21"/>
  <c r="AJ46" i="21" s="1"/>
  <c r="C10" i="30"/>
  <c r="E10" i="30" l="1"/>
  <c r="M27" i="23" l="1"/>
  <c r="M26" i="23"/>
  <c r="M25" i="23"/>
  <c r="C14" i="30" l="1"/>
  <c r="N132" i="1" l="1"/>
  <c r="D194" i="29" l="1"/>
  <c r="D192" i="29"/>
  <c r="D193" i="29"/>
  <c r="D191" i="29"/>
  <c r="D189" i="29"/>
  <c r="D188" i="29"/>
  <c r="D185" i="29"/>
  <c r="D186" i="29"/>
  <c r="D187" i="29"/>
  <c r="D184" i="29"/>
  <c r="D182" i="29"/>
  <c r="D173" i="29"/>
  <c r="D174" i="29"/>
  <c r="D172" i="29"/>
  <c r="D170" i="29"/>
  <c r="D175" i="29"/>
  <c r="D169" i="29"/>
  <c r="D166" i="29"/>
  <c r="D167" i="29"/>
  <c r="D168" i="29"/>
  <c r="D165" i="29"/>
  <c r="D163" i="29"/>
  <c r="D162" i="29"/>
  <c r="D180" i="29"/>
  <c r="D179" i="29"/>
  <c r="D161" i="29"/>
  <c r="D160" i="29"/>
  <c r="D159" i="29"/>
  <c r="B26" i="23"/>
  <c r="B25" i="23"/>
  <c r="AB8" i="23"/>
  <c r="B27" i="23" l="1"/>
  <c r="G175" i="29"/>
  <c r="G194" i="29"/>
  <c r="G174" i="29"/>
  <c r="G191" i="29"/>
  <c r="G192" i="29"/>
  <c r="G172" i="29"/>
  <c r="G173" i="29"/>
  <c r="G193" i="29"/>
  <c r="G170" i="29"/>
  <c r="G189" i="29"/>
  <c r="G188" i="29"/>
  <c r="G169" i="29"/>
  <c r="G165" i="29"/>
  <c r="G167" i="29"/>
  <c r="G184" i="29"/>
  <c r="G186" i="29"/>
  <c r="G168" i="29"/>
  <c r="G166" i="29"/>
  <c r="G187" i="29"/>
  <c r="G185" i="29"/>
  <c r="G182" i="29"/>
  <c r="G181" i="29"/>
  <c r="G162" i="29"/>
  <c r="G163" i="29"/>
  <c r="G180" i="29"/>
  <c r="G179" i="29"/>
  <c r="G178" i="29"/>
  <c r="G161" i="29"/>
  <c r="G160" i="29"/>
  <c r="G159" i="29"/>
  <c r="D34" i="30"/>
  <c r="G156" i="29" l="1"/>
  <c r="D36" i="30"/>
  <c r="E41" i="30"/>
  <c r="D40" i="30"/>
  <c r="E35" i="30"/>
  <c r="D39" i="30"/>
  <c r="E38" i="30"/>
  <c r="D33" i="30"/>
  <c r="D38" i="30"/>
  <c r="D35" i="30"/>
  <c r="E40" i="30"/>
  <c r="D41" i="30"/>
  <c r="E36" i="30"/>
  <c r="E33" i="30"/>
  <c r="E34" i="30"/>
  <c r="E39" i="30"/>
  <c r="C15" i="30"/>
  <c r="AB33" i="30"/>
  <c r="AB32" i="30"/>
  <c r="AB31" i="30"/>
  <c r="AB30" i="30"/>
  <c r="AB29" i="30"/>
  <c r="AB28" i="30"/>
  <c r="AB27" i="30"/>
  <c r="AB26" i="30"/>
  <c r="AB25" i="30"/>
  <c r="AB24" i="30"/>
  <c r="AB23" i="30"/>
  <c r="AB22" i="30"/>
  <c r="AB21" i="30"/>
  <c r="AB20" i="30"/>
  <c r="AB19" i="30"/>
  <c r="AB18" i="30"/>
  <c r="AB17" i="30"/>
  <c r="AB16" i="30"/>
  <c r="AB15" i="30"/>
  <c r="AB14" i="30"/>
  <c r="AB13" i="30"/>
  <c r="AB12" i="30"/>
  <c r="AB11" i="30"/>
  <c r="AA11" i="30"/>
  <c r="AB10" i="30"/>
  <c r="AB9" i="30"/>
  <c r="AN67" i="26"/>
  <c r="AA12" i="30" l="1"/>
  <c r="AN66" i="26"/>
  <c r="AR66" i="26" s="1"/>
  <c r="C42" i="30"/>
  <c r="AP67" i="26"/>
  <c r="AR67" i="26"/>
  <c r="AQ63" i="26"/>
  <c r="AQ64" i="26"/>
  <c r="AQ62" i="26"/>
  <c r="AQ59" i="26"/>
  <c r="AQ60" i="26"/>
  <c r="AQ58" i="26"/>
  <c r="AO63" i="26"/>
  <c r="AO64" i="26"/>
  <c r="AO62" i="26"/>
  <c r="AO59" i="26"/>
  <c r="AO60" i="26"/>
  <c r="AO58" i="26"/>
  <c r="AN63" i="26"/>
  <c r="AN62" i="26"/>
  <c r="AN64" i="26"/>
  <c r="AN60" i="26"/>
  <c r="AN59" i="26"/>
  <c r="AN58" i="26"/>
  <c r="AC60" i="24"/>
  <c r="AC61" i="24"/>
  <c r="AC59" i="24"/>
  <c r="AC57" i="24"/>
  <c r="AC58" i="24"/>
  <c r="AC56" i="24"/>
  <c r="AB60" i="24"/>
  <c r="AB59" i="24"/>
  <c r="AB61" i="24"/>
  <c r="AB58" i="24"/>
  <c r="AB57" i="24"/>
  <c r="AB56" i="24"/>
  <c r="AR62" i="26" l="1"/>
  <c r="AP66" i="26"/>
  <c r="AP68" i="26" s="1"/>
  <c r="AR68" i="26"/>
  <c r="AD60" i="24"/>
  <c r="AR63" i="26"/>
  <c r="AD56" i="24"/>
  <c r="AR58" i="26"/>
  <c r="AD58" i="24"/>
  <c r="AD59" i="24"/>
  <c r="AD57" i="24"/>
  <c r="AR60" i="26"/>
  <c r="AD61" i="24"/>
  <c r="AP63" i="26"/>
  <c r="AR59" i="26"/>
  <c r="AR64" i="26"/>
  <c r="AP58" i="26"/>
  <c r="AP60" i="26"/>
  <c r="AP64" i="26"/>
  <c r="AP62" i="26"/>
  <c r="AP59" i="26"/>
  <c r="AR65" i="26" l="1"/>
  <c r="B81" i="26" s="1"/>
  <c r="AR61" i="26"/>
  <c r="B59" i="26" s="1"/>
  <c r="AP65" i="26"/>
  <c r="B80" i="26" s="1"/>
  <c r="AP61" i="26"/>
  <c r="B58" i="26" s="1"/>
  <c r="AB30" i="14"/>
  <c r="AL43" i="14"/>
  <c r="AL36" i="14"/>
  <c r="AL29" i="14"/>
  <c r="AB31" i="14" l="1"/>
  <c r="AB32" i="14" s="1"/>
  <c r="F53" i="14"/>
  <c r="D54" i="14"/>
  <c r="AD30" i="14" l="1"/>
  <c r="BC93" i="18" l="1"/>
  <c r="BC92" i="18"/>
  <c r="BC91" i="18"/>
  <c r="BC90" i="18"/>
  <c r="BC89" i="18"/>
  <c r="BC88" i="18"/>
  <c r="BC87" i="18"/>
  <c r="BC86" i="18"/>
  <c r="BC85" i="18"/>
  <c r="BC84" i="18"/>
  <c r="BC83" i="18"/>
  <c r="BC82" i="18"/>
  <c r="BE81" i="18"/>
  <c r="BC81" i="18"/>
  <c r="BE80" i="18"/>
  <c r="BC80" i="18"/>
  <c r="BE79" i="18"/>
  <c r="BC79" i="18"/>
  <c r="BE78" i="18"/>
  <c r="BD78" i="18"/>
  <c r="BC78" i="18"/>
  <c r="BE77" i="18"/>
  <c r="BD77" i="18"/>
  <c r="BC77" i="18"/>
  <c r="BB77" i="18"/>
  <c r="BF76" i="18"/>
  <c r="BE76" i="18"/>
  <c r="BD76" i="18"/>
  <c r="BC76" i="18"/>
  <c r="BB76" i="18"/>
  <c r="BF75" i="18"/>
  <c r="BE75" i="18"/>
  <c r="BD75" i="18"/>
  <c r="BC75" i="18"/>
  <c r="BB75" i="18"/>
  <c r="BH74" i="18"/>
  <c r="BG74" i="18"/>
  <c r="BF74" i="18"/>
  <c r="BE74" i="18"/>
  <c r="BD74" i="18"/>
  <c r="BC74" i="18"/>
  <c r="BB74" i="18"/>
  <c r="AY111" i="18" s="1"/>
  <c r="BG73" i="18"/>
  <c r="BF73" i="18"/>
  <c r="BE73" i="18"/>
  <c r="BD73" i="18"/>
  <c r="BC73" i="18"/>
  <c r="BB73" i="18"/>
  <c r="AY100" i="18" s="1"/>
  <c r="BH72" i="18"/>
  <c r="AY120" i="18" s="1"/>
  <c r="BG72" i="18"/>
  <c r="BF72" i="18"/>
  <c r="BE72" i="18"/>
  <c r="BD72" i="18"/>
  <c r="BC72" i="18"/>
  <c r="BB72" i="18"/>
  <c r="AY121" i="18"/>
  <c r="AF30" i="14"/>
  <c r="AJ30" i="14"/>
  <c r="AE30" i="14"/>
  <c r="AH30" i="14"/>
  <c r="AI30" i="14"/>
  <c r="AG30" i="14"/>
  <c r="AY113" i="18" l="1"/>
  <c r="AY98" i="18"/>
  <c r="AY96" i="18"/>
  <c r="AY119" i="18"/>
  <c r="AY95" i="18"/>
  <c r="D33" i="14"/>
  <c r="AY115" i="18"/>
  <c r="AY114" i="18"/>
  <c r="AY116" i="18"/>
  <c r="BC71" i="18" a="1"/>
  <c r="BG71" i="18" s="1"/>
  <c r="BG94" i="18" s="1"/>
  <c r="AY112" i="18"/>
  <c r="AY97" i="18"/>
  <c r="AY122" i="18"/>
  <c r="AY99" i="18"/>
  <c r="AY101" i="18"/>
  <c r="AY73" i="18"/>
  <c r="AY74" i="18"/>
  <c r="AY75" i="18"/>
  <c r="AY76" i="18"/>
  <c r="AY77" i="18"/>
  <c r="AY78" i="18"/>
  <c r="AY79" i="18"/>
  <c r="AY80" i="18"/>
  <c r="AY81" i="18"/>
  <c r="AY82" i="18"/>
  <c r="AY83" i="18"/>
  <c r="AY84" i="18"/>
  <c r="AY85" i="18"/>
  <c r="AY86" i="18"/>
  <c r="AY87" i="18"/>
  <c r="AY88" i="18"/>
  <c r="AY89" i="18"/>
  <c r="AY90" i="18"/>
  <c r="AY91" i="18"/>
  <c r="AY92" i="18"/>
  <c r="AY93" i="18"/>
  <c r="AY94" i="18"/>
  <c r="AY102" i="18"/>
  <c r="AY103" i="18"/>
  <c r="AY104" i="18"/>
  <c r="AY105" i="18"/>
  <c r="AY106" i="18"/>
  <c r="AY107" i="18"/>
  <c r="AY108" i="18"/>
  <c r="AY109" i="18"/>
  <c r="AY110" i="18"/>
  <c r="AY117" i="18"/>
  <c r="AY118" i="18"/>
  <c r="J147" i="1"/>
  <c r="AE156" i="1"/>
  <c r="AH115" i="21" l="1"/>
  <c r="K115" i="21" s="1"/>
  <c r="AH114" i="21"/>
  <c r="K114" i="21" s="1"/>
  <c r="AH67" i="21"/>
  <c r="K67" i="21" s="1"/>
  <c r="AH68" i="21"/>
  <c r="K68" i="21" s="1"/>
  <c r="BC71" i="18"/>
  <c r="AG80" i="21" s="1"/>
  <c r="BF71" i="18"/>
  <c r="BF94" i="18" s="1"/>
  <c r="BE71" i="18"/>
  <c r="BE94" i="18" s="1"/>
  <c r="BH71" i="18"/>
  <c r="BD71" i="18"/>
  <c r="BD94" i="18" s="1"/>
  <c r="AG76" i="21"/>
  <c r="AG84" i="21"/>
  <c r="AG88" i="21"/>
  <c r="AG92" i="21"/>
  <c r="AG79" i="21"/>
  <c r="AG83" i="21"/>
  <c r="AG87" i="21"/>
  <c r="J84" i="15"/>
  <c r="J83" i="15"/>
  <c r="AG91" i="21" l="1"/>
  <c r="AG75" i="21"/>
  <c r="AG78" i="21"/>
  <c r="BH94" i="18"/>
  <c r="AJ77" i="21"/>
  <c r="AJ81" i="21"/>
  <c r="AJ85" i="21"/>
  <c r="AJ89" i="21"/>
  <c r="AJ93" i="21"/>
  <c r="AJ76" i="21"/>
  <c r="AJ84" i="21"/>
  <c r="AJ78" i="21"/>
  <c r="AJ82" i="21"/>
  <c r="AJ86" i="21"/>
  <c r="AJ90" i="21"/>
  <c r="AI80" i="21"/>
  <c r="BC94" i="18"/>
  <c r="AJ73" i="21" s="1"/>
  <c r="AJ88" i="21"/>
  <c r="AJ75" i="21"/>
  <c r="AJ79" i="21"/>
  <c r="AJ83" i="21"/>
  <c r="AJ87" i="21"/>
  <c r="AJ91" i="21"/>
  <c r="AI85" i="21"/>
  <c r="AJ80" i="21"/>
  <c r="AJ92" i="21"/>
  <c r="AG72" i="21"/>
  <c r="AH119" i="21"/>
  <c r="AH123" i="21"/>
  <c r="AH127" i="21"/>
  <c r="AH131" i="21"/>
  <c r="AH135" i="21"/>
  <c r="AH139" i="21"/>
  <c r="AH118" i="21"/>
  <c r="AH120" i="21"/>
  <c r="AH124" i="21"/>
  <c r="AH128" i="21"/>
  <c r="AH132" i="21"/>
  <c r="AH136" i="21"/>
  <c r="AH121" i="21"/>
  <c r="AH125" i="21"/>
  <c r="AH129" i="21"/>
  <c r="AH133" i="21"/>
  <c r="AH137" i="21"/>
  <c r="AH122" i="21"/>
  <c r="AH126" i="21"/>
  <c r="AH130" i="21"/>
  <c r="AH134" i="21"/>
  <c r="AH138" i="21"/>
  <c r="AH73" i="21"/>
  <c r="AH77" i="21"/>
  <c r="AH81" i="21"/>
  <c r="AH85" i="21"/>
  <c r="AH89" i="21"/>
  <c r="AH93" i="21"/>
  <c r="AH72" i="21"/>
  <c r="AH74" i="21"/>
  <c r="AH78" i="21"/>
  <c r="AH82" i="21"/>
  <c r="AH86" i="21"/>
  <c r="AH90" i="21"/>
  <c r="AH75" i="21"/>
  <c r="AH79" i="21"/>
  <c r="AH83" i="21"/>
  <c r="AH87" i="21"/>
  <c r="AH91" i="21"/>
  <c r="AH76" i="21"/>
  <c r="AH80" i="21"/>
  <c r="AH84" i="21"/>
  <c r="AH88" i="21"/>
  <c r="AH92" i="21"/>
  <c r="AG93" i="21"/>
  <c r="AG85" i="21"/>
  <c r="AG77" i="21"/>
  <c r="AG90" i="21"/>
  <c r="AG82" i="21"/>
  <c r="AG74" i="21"/>
  <c r="AG89" i="21"/>
  <c r="AG81" i="21"/>
  <c r="AG73" i="21"/>
  <c r="AG86" i="21"/>
  <c r="AG119" i="21"/>
  <c r="AG123" i="21"/>
  <c r="AG120" i="21"/>
  <c r="AG124" i="21"/>
  <c r="AG128" i="21"/>
  <c r="AG132" i="21"/>
  <c r="AG136" i="21"/>
  <c r="AG118" i="21"/>
  <c r="AG121" i="21"/>
  <c r="AG125" i="21"/>
  <c r="AG129" i="21"/>
  <c r="AG133" i="21"/>
  <c r="AG137" i="21"/>
  <c r="AG122" i="21"/>
  <c r="AG126" i="21"/>
  <c r="AG130" i="21"/>
  <c r="AG134" i="21"/>
  <c r="AG138" i="21"/>
  <c r="AG127" i="21"/>
  <c r="AG131" i="21"/>
  <c r="AG135" i="21"/>
  <c r="AG139" i="21"/>
  <c r="AK247" i="1"/>
  <c r="AK246" i="1"/>
  <c r="FC47" i="19"/>
  <c r="FB47" i="19"/>
  <c r="AI72" i="21" l="1"/>
  <c r="AI91" i="21"/>
  <c r="AI81" i="21"/>
  <c r="AI90" i="21"/>
  <c r="AI92" i="21"/>
  <c r="AI76" i="21"/>
  <c r="AI82" i="21"/>
  <c r="AI75" i="21"/>
  <c r="AI93" i="21"/>
  <c r="AI77" i="21"/>
  <c r="AI78" i="21"/>
  <c r="AI88" i="21"/>
  <c r="AJ72" i="21"/>
  <c r="AI74" i="21"/>
  <c r="AI87" i="21"/>
  <c r="AI79" i="21"/>
  <c r="AI86" i="21"/>
  <c r="AI89" i="21"/>
  <c r="AI73" i="21"/>
  <c r="AI84" i="21"/>
  <c r="AJ74" i="21"/>
  <c r="AI83" i="21"/>
  <c r="FE57" i="19"/>
  <c r="FD57" i="19"/>
  <c r="FE26" i="19"/>
  <c r="FD26" i="19"/>
  <c r="FE45" i="19"/>
  <c r="FD45" i="19"/>
  <c r="FB45" i="19"/>
  <c r="FC45" i="19" s="1"/>
  <c r="FB14" i="19"/>
  <c r="FC14" i="19" s="1"/>
  <c r="FE14" i="19"/>
  <c r="FD14" i="19"/>
  <c r="L95" i="11" l="1"/>
  <c r="L96" i="11"/>
  <c r="L97" i="11"/>
  <c r="L98" i="11"/>
  <c r="L99" i="11"/>
  <c r="L100" i="11"/>
  <c r="L101" i="11"/>
  <c r="L102" i="11"/>
  <c r="L103" i="11"/>
  <c r="L104" i="11"/>
  <c r="L105" i="11"/>
  <c r="L106" i="11"/>
  <c r="L107" i="11"/>
  <c r="L108" i="11"/>
  <c r="L110" i="11"/>
  <c r="L111" i="11"/>
  <c r="L112" i="11"/>
  <c r="L113" i="11"/>
  <c r="L114" i="11"/>
  <c r="L115" i="11"/>
  <c r="L116" i="11"/>
  <c r="L117" i="11"/>
  <c r="L118" i="11"/>
  <c r="L120" i="11"/>
  <c r="L121" i="11"/>
  <c r="L122" i="11"/>
  <c r="L123" i="11"/>
  <c r="L124" i="11"/>
  <c r="L71" i="11"/>
  <c r="L72" i="11"/>
  <c r="L73" i="11"/>
  <c r="L74" i="11"/>
  <c r="L75" i="11"/>
  <c r="L76" i="11"/>
  <c r="L77" i="11"/>
  <c r="L78" i="11"/>
  <c r="L79" i="11"/>
  <c r="L80" i="11"/>
  <c r="L81" i="11"/>
  <c r="L82" i="11"/>
  <c r="L83" i="11"/>
  <c r="L84" i="11"/>
  <c r="L85" i="11"/>
  <c r="L86" i="11"/>
  <c r="L88" i="11"/>
  <c r="L89" i="11"/>
  <c r="L90" i="11"/>
  <c r="L91" i="11"/>
  <c r="L92" i="11"/>
  <c r="L93" i="11"/>
  <c r="L70" i="11"/>
  <c r="FN44" i="19"/>
  <c r="T108" i="11" s="1"/>
  <c r="FN43" i="19"/>
  <c r="T107" i="11" s="1"/>
  <c r="FN42" i="19"/>
  <c r="T106" i="11" s="1"/>
  <c r="FN41" i="19"/>
  <c r="T105" i="11" s="1"/>
  <c r="FN40" i="19"/>
  <c r="T104" i="11" s="1"/>
  <c r="FN39" i="19"/>
  <c r="T103" i="11" s="1"/>
  <c r="FN38" i="19"/>
  <c r="T102" i="11" s="1"/>
  <c r="FN37" i="19"/>
  <c r="T101" i="11" s="1"/>
  <c r="FN36" i="19"/>
  <c r="T100" i="11" s="1"/>
  <c r="FN35" i="19"/>
  <c r="T99" i="11" s="1"/>
  <c r="FN34" i="19"/>
  <c r="T98" i="11" s="1"/>
  <c r="FN33" i="19"/>
  <c r="T97" i="11" s="1"/>
  <c r="FN32" i="19"/>
  <c r="T96" i="11" s="1"/>
  <c r="FN31" i="19"/>
  <c r="T95" i="11" s="1"/>
  <c r="FK44" i="19"/>
  <c r="Q108" i="11" s="1"/>
  <c r="FK43" i="19"/>
  <c r="Q107" i="11" s="1"/>
  <c r="FK42" i="19"/>
  <c r="Q106" i="11" s="1"/>
  <c r="FK41" i="19"/>
  <c r="Q105" i="11" s="1"/>
  <c r="FK40" i="19"/>
  <c r="Q104" i="11" s="1"/>
  <c r="FK39" i="19"/>
  <c r="Q103" i="11" s="1"/>
  <c r="FK38" i="19"/>
  <c r="Q102" i="11" s="1"/>
  <c r="FK37" i="19"/>
  <c r="Q101" i="11" s="1"/>
  <c r="FK36" i="19"/>
  <c r="Q100" i="11" s="1"/>
  <c r="FK35" i="19"/>
  <c r="Q99" i="11" s="1"/>
  <c r="FK34" i="19"/>
  <c r="Q98" i="11" s="1"/>
  <c r="FK33" i="19"/>
  <c r="Q97" i="11" s="1"/>
  <c r="FK32" i="19"/>
  <c r="Q96" i="11" s="1"/>
  <c r="FK31" i="19"/>
  <c r="Q95" i="11" s="1"/>
  <c r="FH44" i="19"/>
  <c r="N108" i="11" s="1"/>
  <c r="FH43" i="19"/>
  <c r="N107" i="11" s="1"/>
  <c r="FH42" i="19"/>
  <c r="N106" i="11" s="1"/>
  <c r="FH41" i="19"/>
  <c r="N105" i="11" s="1"/>
  <c r="FH40" i="19"/>
  <c r="N104" i="11" s="1"/>
  <c r="FH39" i="19"/>
  <c r="N103" i="11" s="1"/>
  <c r="FH38" i="19"/>
  <c r="N102" i="11" s="1"/>
  <c r="FH37" i="19"/>
  <c r="N101" i="11" s="1"/>
  <c r="FH36" i="19"/>
  <c r="N100" i="11" s="1"/>
  <c r="FH35" i="19"/>
  <c r="N99" i="11" s="1"/>
  <c r="FH34" i="19"/>
  <c r="N98" i="11" s="1"/>
  <c r="FH33" i="19"/>
  <c r="N97" i="11" s="1"/>
  <c r="FH32" i="19"/>
  <c r="N96" i="11" s="1"/>
  <c r="FH31" i="19"/>
  <c r="N95" i="11" s="1"/>
  <c r="N33" i="11" l="1"/>
  <c r="P33" i="11" s="1"/>
  <c r="N41" i="11"/>
  <c r="P41" i="11" s="1"/>
  <c r="N37" i="11"/>
  <c r="P37" i="11" s="1"/>
  <c r="Q31" i="11"/>
  <c r="S31" i="11" s="1"/>
  <c r="Q33" i="11"/>
  <c r="S33" i="11" s="1"/>
  <c r="Q35" i="11"/>
  <c r="S35" i="11" s="1"/>
  <c r="Q37" i="11"/>
  <c r="S37" i="11" s="1"/>
  <c r="Q39" i="11"/>
  <c r="S39" i="11" s="1"/>
  <c r="Q41" i="11"/>
  <c r="S41" i="11" s="1"/>
  <c r="Q43" i="11"/>
  <c r="S43" i="11" s="1"/>
  <c r="T31" i="11"/>
  <c r="V31" i="11" s="1"/>
  <c r="T33" i="11"/>
  <c r="V33" i="11" s="1"/>
  <c r="T35" i="11"/>
  <c r="V35" i="11" s="1"/>
  <c r="T37" i="11"/>
  <c r="V37" i="11" s="1"/>
  <c r="T39" i="11"/>
  <c r="V39" i="11" s="1"/>
  <c r="T41" i="11"/>
  <c r="V41" i="11" s="1"/>
  <c r="T43" i="11"/>
  <c r="V43" i="11" s="1"/>
  <c r="N31" i="11"/>
  <c r="P31" i="11" s="1"/>
  <c r="N35" i="11"/>
  <c r="P35" i="11" s="1"/>
  <c r="N39" i="11"/>
  <c r="P39" i="11" s="1"/>
  <c r="N43" i="11"/>
  <c r="P43" i="11" s="1"/>
  <c r="N32" i="11"/>
  <c r="P32" i="11" s="1"/>
  <c r="N34" i="11"/>
  <c r="P34" i="11" s="1"/>
  <c r="N36" i="11"/>
  <c r="P36" i="11" s="1"/>
  <c r="N38" i="11"/>
  <c r="P38" i="11" s="1"/>
  <c r="N40" i="11"/>
  <c r="P40" i="11" s="1"/>
  <c r="N42" i="11"/>
  <c r="P42" i="11" s="1"/>
  <c r="N44" i="11"/>
  <c r="P44" i="11" s="1"/>
  <c r="Q32" i="11"/>
  <c r="S32" i="11" s="1"/>
  <c r="Q34" i="11"/>
  <c r="S34" i="11" s="1"/>
  <c r="Q36" i="11"/>
  <c r="S36" i="11" s="1"/>
  <c r="Q38" i="11"/>
  <c r="S38" i="11" s="1"/>
  <c r="Q40" i="11"/>
  <c r="S40" i="11" s="1"/>
  <c r="Q42" i="11"/>
  <c r="S42" i="11" s="1"/>
  <c r="Q44" i="11"/>
  <c r="S44" i="11" s="1"/>
  <c r="T32" i="11"/>
  <c r="V32" i="11" s="1"/>
  <c r="T34" i="11"/>
  <c r="V34" i="11" s="1"/>
  <c r="T36" i="11"/>
  <c r="V36" i="11" s="1"/>
  <c r="T38" i="11"/>
  <c r="V38" i="11" s="1"/>
  <c r="T40" i="11"/>
  <c r="V40" i="11" s="1"/>
  <c r="T42" i="11"/>
  <c r="V42" i="11" s="1"/>
  <c r="T44" i="11"/>
  <c r="V44" i="11" s="1"/>
  <c r="AH27" i="8"/>
  <c r="AN71" i="8" l="1"/>
  <c r="AN72" i="8"/>
  <c r="AN73" i="8"/>
  <c r="AN74" i="8"/>
  <c r="AN70" i="8"/>
  <c r="AK71" i="8"/>
  <c r="AK72" i="8"/>
  <c r="AK73" i="8"/>
  <c r="AK74" i="8"/>
  <c r="AK70" i="8"/>
  <c r="AH70" i="8"/>
  <c r="AH71" i="8"/>
  <c r="AH72" i="8"/>
  <c r="AH73" i="8"/>
  <c r="AH74" i="8"/>
  <c r="AG71" i="8"/>
  <c r="AG72" i="8"/>
  <c r="AG73" i="8"/>
  <c r="AG74" i="8"/>
  <c r="AG70" i="8"/>
  <c r="AN64" i="8"/>
  <c r="AN65" i="8"/>
  <c r="AN66" i="8"/>
  <c r="AN67" i="8"/>
  <c r="AN63" i="8"/>
  <c r="AK64" i="8"/>
  <c r="AK65" i="8"/>
  <c r="AK66" i="8"/>
  <c r="AK67" i="8"/>
  <c r="AK63" i="8"/>
  <c r="AH63" i="8"/>
  <c r="AH64" i="8"/>
  <c r="AH65" i="8"/>
  <c r="AH66" i="8"/>
  <c r="AH67" i="8"/>
  <c r="AG64" i="8"/>
  <c r="AG65" i="8"/>
  <c r="AG66" i="8"/>
  <c r="AG67" i="8"/>
  <c r="AG63" i="8"/>
  <c r="AN58" i="8"/>
  <c r="AN59" i="8"/>
  <c r="AN60" i="8"/>
  <c r="AK58" i="8"/>
  <c r="AK59" i="8"/>
  <c r="AK60" i="8"/>
  <c r="AH58" i="8"/>
  <c r="AH59" i="8"/>
  <c r="AH60" i="8"/>
  <c r="AG58" i="8"/>
  <c r="AG59" i="8"/>
  <c r="AG60" i="8"/>
  <c r="AN52" i="8"/>
  <c r="AN53" i="8"/>
  <c r="AN54" i="8"/>
  <c r="AN55" i="8"/>
  <c r="AN51" i="8"/>
  <c r="AK52" i="8"/>
  <c r="AK53" i="8"/>
  <c r="AK54" i="8"/>
  <c r="AK55" i="8"/>
  <c r="AK51" i="8"/>
  <c r="AG52" i="8"/>
  <c r="AG53" i="8"/>
  <c r="AG54" i="8"/>
  <c r="AG55" i="8"/>
  <c r="AG51" i="8"/>
  <c r="AN42" i="8"/>
  <c r="AN43" i="8"/>
  <c r="AN44" i="8"/>
  <c r="AN45" i="8"/>
  <c r="AN41" i="8"/>
  <c r="AK42" i="8"/>
  <c r="AK43" i="8"/>
  <c r="AK44" i="8"/>
  <c r="AK45" i="8"/>
  <c r="AK41" i="8"/>
  <c r="AH41" i="8"/>
  <c r="AH42" i="8"/>
  <c r="AH43" i="8"/>
  <c r="AH44" i="8"/>
  <c r="AH45" i="8"/>
  <c r="AG42" i="8"/>
  <c r="AG43" i="8"/>
  <c r="AG44" i="8"/>
  <c r="AG45" i="8"/>
  <c r="AG41" i="8"/>
  <c r="AN35" i="8"/>
  <c r="AN36" i="8"/>
  <c r="AN37" i="8"/>
  <c r="AN38" i="8"/>
  <c r="AN34" i="8"/>
  <c r="AK35" i="8"/>
  <c r="AK36" i="8"/>
  <c r="AK37" i="8"/>
  <c r="AK38" i="8"/>
  <c r="AK34" i="8"/>
  <c r="AH34" i="8"/>
  <c r="AH35" i="8"/>
  <c r="AH36" i="8"/>
  <c r="AH37" i="8"/>
  <c r="AH38" i="8"/>
  <c r="AG35" i="8"/>
  <c r="AG36" i="8"/>
  <c r="AG37" i="8"/>
  <c r="AG38" i="8"/>
  <c r="AG34" i="8"/>
  <c r="AN29" i="8"/>
  <c r="AN30" i="8"/>
  <c r="AN31" i="8"/>
  <c r="AK29" i="8"/>
  <c r="AK30" i="8"/>
  <c r="AK31" i="8"/>
  <c r="AH29" i="8"/>
  <c r="AH30" i="8"/>
  <c r="AH31" i="8"/>
  <c r="AG29" i="8"/>
  <c r="AG30" i="8"/>
  <c r="AG31" i="8"/>
  <c r="AN23" i="8"/>
  <c r="AN24" i="8"/>
  <c r="AN25" i="8"/>
  <c r="AN26" i="8"/>
  <c r="AN22" i="8"/>
  <c r="AK23" i="8"/>
  <c r="AK24" i="8"/>
  <c r="AK25" i="8"/>
  <c r="AK26" i="8"/>
  <c r="AK22" i="8"/>
  <c r="AG23" i="8"/>
  <c r="AG24" i="8"/>
  <c r="AG25" i="8"/>
  <c r="AG26" i="8"/>
  <c r="AG22" i="8"/>
  <c r="AE73" i="8"/>
  <c r="AC73" i="8"/>
  <c r="AE72" i="8"/>
  <c r="AC72" i="8"/>
  <c r="AE71" i="8"/>
  <c r="AC71" i="8"/>
  <c r="AE70" i="8"/>
  <c r="AC70" i="8"/>
  <c r="AE66" i="8"/>
  <c r="AC66" i="8"/>
  <c r="AE65" i="8"/>
  <c r="AC65" i="8"/>
  <c r="AE64" i="8"/>
  <c r="AC64" i="8"/>
  <c r="AE63" i="8"/>
  <c r="AC63" i="8"/>
  <c r="AE59" i="8"/>
  <c r="AC59" i="8"/>
  <c r="AE58" i="8"/>
  <c r="AC58" i="8"/>
  <c r="AE44" i="8"/>
  <c r="AE43" i="8"/>
  <c r="AE42" i="8"/>
  <c r="AE41" i="8"/>
  <c r="AE37" i="8"/>
  <c r="AE36" i="8"/>
  <c r="AE35" i="8"/>
  <c r="AE34" i="8"/>
  <c r="AE30" i="8"/>
  <c r="AE29" i="8"/>
  <c r="AC44" i="8"/>
  <c r="AC43" i="8"/>
  <c r="AC42" i="8"/>
  <c r="AC41" i="8"/>
  <c r="AC37" i="8"/>
  <c r="AC36" i="8"/>
  <c r="AC35" i="8"/>
  <c r="AC34" i="8"/>
  <c r="L245" i="1"/>
  <c r="AA59" i="8"/>
  <c r="AM59" i="8" s="1"/>
  <c r="AA58" i="8"/>
  <c r="AA73" i="8"/>
  <c r="AA72" i="8"/>
  <c r="AA71" i="8"/>
  <c r="AA70" i="8"/>
  <c r="AA66" i="8"/>
  <c r="AA65" i="8"/>
  <c r="AA64" i="8"/>
  <c r="AA63" i="8"/>
  <c r="AA54" i="8"/>
  <c r="AA53" i="8"/>
  <c r="AA52" i="8"/>
  <c r="AA51" i="8"/>
  <c r="AA44" i="8"/>
  <c r="AA43" i="8"/>
  <c r="AA42" i="8"/>
  <c r="AA41" i="8"/>
  <c r="AA37" i="8"/>
  <c r="AA36" i="8"/>
  <c r="AA35" i="8"/>
  <c r="AA34" i="8"/>
  <c r="AA30" i="8"/>
  <c r="AA29" i="8"/>
  <c r="AA25" i="8"/>
  <c r="AA24" i="8"/>
  <c r="AM24" i="8" s="1"/>
  <c r="AA23" i="8"/>
  <c r="AA22" i="8"/>
  <c r="AC30" i="8"/>
  <c r="AC29" i="8"/>
  <c r="AJ35" i="8" l="1"/>
  <c r="AJ37" i="8"/>
  <c r="AJ44" i="8"/>
  <c r="AD52" i="8"/>
  <c r="AD54" i="8"/>
  <c r="AM64" i="8"/>
  <c r="AM66" i="8"/>
  <c r="AM71" i="8"/>
  <c r="AM73" i="8"/>
  <c r="AD25" i="8"/>
  <c r="AM37" i="8"/>
  <c r="AM42" i="8"/>
  <c r="AJ54" i="8"/>
  <c r="AJ59" i="8"/>
  <c r="AD34" i="8"/>
  <c r="AF42" i="8"/>
  <c r="AF30" i="8"/>
  <c r="AM23" i="8"/>
  <c r="AM25" i="8"/>
  <c r="AM35" i="8"/>
  <c r="AM44" i="8"/>
  <c r="AJ52" i="8"/>
  <c r="AM22" i="8"/>
  <c r="AJ29" i="8"/>
  <c r="AM41" i="8"/>
  <c r="AD59" i="8"/>
  <c r="AD35" i="8"/>
  <c r="AJ42" i="8"/>
  <c r="AF35" i="8"/>
  <c r="AF37" i="8"/>
  <c r="AF44" i="8"/>
  <c r="AM52" i="8"/>
  <c r="T26" i="8" s="1"/>
  <c r="AJ24" i="8"/>
  <c r="AM29" i="8"/>
  <c r="AD30" i="8"/>
  <c r="AM30" i="8"/>
  <c r="AD66" i="8"/>
  <c r="AJ66" i="8"/>
  <c r="AD73" i="8"/>
  <c r="AJ73" i="8"/>
  <c r="AD64" i="8"/>
  <c r="AJ64" i="8"/>
  <c r="AD71" i="8"/>
  <c r="AJ71" i="8"/>
  <c r="AD26" i="8"/>
  <c r="AJ36" i="8"/>
  <c r="AD36" i="8"/>
  <c r="AM36" i="8"/>
  <c r="AM45" i="8"/>
  <c r="AM43" i="8"/>
  <c r="AJ45" i="8"/>
  <c r="AJ43" i="8"/>
  <c r="AM51" i="8"/>
  <c r="AD51" i="8"/>
  <c r="AJ51" i="8"/>
  <c r="AM53" i="8"/>
  <c r="AD53" i="8"/>
  <c r="AD55" i="8"/>
  <c r="AJ53" i="8"/>
  <c r="AM63" i="8"/>
  <c r="AJ63" i="8"/>
  <c r="AM65" i="8"/>
  <c r="AJ65" i="8"/>
  <c r="AM70" i="8"/>
  <c r="AJ70" i="8"/>
  <c r="AM72" i="8"/>
  <c r="AJ72" i="8"/>
  <c r="AM58" i="8"/>
  <c r="AJ58" i="8"/>
  <c r="AJ31" i="8"/>
  <c r="AD58" i="8"/>
  <c r="AD63" i="8"/>
  <c r="AD65" i="8"/>
  <c r="AD70" i="8"/>
  <c r="AD72" i="8"/>
  <c r="AD29" i="8"/>
  <c r="AJ23" i="8"/>
  <c r="AJ25" i="8"/>
  <c r="AJ30" i="8"/>
  <c r="AD37" i="8"/>
  <c r="AD42" i="8"/>
  <c r="AD45" i="8"/>
  <c r="AD44" i="8"/>
  <c r="AF31" i="8"/>
  <c r="AF45" i="8"/>
  <c r="AM54" i="8"/>
  <c r="AF60" i="8"/>
  <c r="AF59" i="8"/>
  <c r="AF63" i="8"/>
  <c r="AF64" i="8"/>
  <c r="AF67" i="8"/>
  <c r="AF66" i="8"/>
  <c r="AF70" i="8"/>
  <c r="AF71" i="8"/>
  <c r="AF74" i="8"/>
  <c r="AF73" i="8"/>
  <c r="AD60" i="8"/>
  <c r="AD74" i="8"/>
  <c r="AF58" i="8"/>
  <c r="AF65" i="8"/>
  <c r="AF72" i="8"/>
  <c r="AJ34" i="8"/>
  <c r="AM34" i="8"/>
  <c r="AJ41" i="8"/>
  <c r="AF34" i="8"/>
  <c r="AF41" i="8"/>
  <c r="AJ22" i="8"/>
  <c r="AD41" i="8"/>
  <c r="AD31" i="8"/>
  <c r="AF36" i="8"/>
  <c r="AD43" i="8"/>
  <c r="AF29" i="8"/>
  <c r="AF43" i="8"/>
  <c r="N121" i="11"/>
  <c r="FN60" i="19"/>
  <c r="T124" i="11" s="1"/>
  <c r="FK60" i="19"/>
  <c r="Q124" i="11" s="1"/>
  <c r="FH60" i="19"/>
  <c r="N124" i="11" s="1"/>
  <c r="FH61" i="19"/>
  <c r="N125" i="11" s="1"/>
  <c r="FH59" i="19"/>
  <c r="N123" i="11" s="1"/>
  <c r="FH58" i="19"/>
  <c r="N122" i="11" s="1"/>
  <c r="FH57" i="19"/>
  <c r="FH22" i="19"/>
  <c r="N86" i="11" s="1"/>
  <c r="FK22" i="19"/>
  <c r="Q86" i="11" s="1"/>
  <c r="FN22" i="19"/>
  <c r="T86" i="11" s="1"/>
  <c r="L125" i="11"/>
  <c r="FH8" i="19"/>
  <c r="N72" i="11" s="1"/>
  <c r="FK8" i="19"/>
  <c r="Q72" i="11" s="1"/>
  <c r="FN8" i="19"/>
  <c r="T72" i="11" s="1"/>
  <c r="FH9" i="19"/>
  <c r="N73" i="11" s="1"/>
  <c r="FH10" i="19"/>
  <c r="N74" i="11" s="1"/>
  <c r="FH11" i="19"/>
  <c r="N75" i="11" s="1"/>
  <c r="AM31" i="8"/>
  <c r="Q17" i="8" l="1"/>
  <c r="Q18" i="8"/>
  <c r="T25" i="8"/>
  <c r="N26" i="8"/>
  <c r="N28" i="8"/>
  <c r="Q28" i="8"/>
  <c r="Q25" i="8"/>
  <c r="T17" i="8"/>
  <c r="T20" i="8"/>
  <c r="T28" i="8"/>
  <c r="Q20" i="8"/>
  <c r="N25" i="8"/>
  <c r="Q26" i="8"/>
  <c r="T18" i="8"/>
  <c r="N20" i="8"/>
  <c r="N60" i="11"/>
  <c r="P60" i="11" s="1"/>
  <c r="T60" i="11"/>
  <c r="V60" i="11" s="1"/>
  <c r="Q22" i="11"/>
  <c r="S22" i="11" s="1"/>
  <c r="N8" i="11"/>
  <c r="P8" i="11" s="1"/>
  <c r="T8" i="11"/>
  <c r="V8" i="11" s="1"/>
  <c r="N10" i="11"/>
  <c r="P10" i="11" s="1"/>
  <c r="N59" i="11"/>
  <c r="P59" i="11" s="1"/>
  <c r="T22" i="11"/>
  <c r="V22" i="11" s="1"/>
  <c r="N22" i="11"/>
  <c r="P22" i="11" s="1"/>
  <c r="Q8" i="11"/>
  <c r="S8" i="11" s="1"/>
  <c r="N9" i="11"/>
  <c r="P9" i="11" s="1"/>
  <c r="N11" i="11"/>
  <c r="P11" i="11" s="1"/>
  <c r="N58" i="11"/>
  <c r="P58" i="11" s="1"/>
  <c r="N61" i="11"/>
  <c r="P61" i="11" s="1"/>
  <c r="Q60" i="11"/>
  <c r="S60" i="11" s="1"/>
  <c r="N57" i="11"/>
  <c r="P57" i="11" s="1"/>
  <c r="AD67" i="8"/>
  <c r="N27" i="8" s="1"/>
  <c r="AF38" i="8"/>
  <c r="AD38" i="8"/>
  <c r="AM26" i="8"/>
  <c r="AJ26" i="8"/>
  <c r="AJ60" i="8"/>
  <c r="AM60" i="8"/>
  <c r="AJ74" i="8"/>
  <c r="AM74" i="8"/>
  <c r="AJ67" i="8"/>
  <c r="AM67" i="8"/>
  <c r="AJ55" i="8"/>
  <c r="AM55" i="8"/>
  <c r="T27" i="8" s="1"/>
  <c r="AM38" i="8"/>
  <c r="AJ38" i="8"/>
  <c r="AB11" i="29"/>
  <c r="AB12" i="29"/>
  <c r="D12" i="29" s="1"/>
  <c r="AB13" i="29"/>
  <c r="AB14" i="29"/>
  <c r="AB15" i="29"/>
  <c r="AB16" i="29"/>
  <c r="AB17" i="29"/>
  <c r="AB18" i="29"/>
  <c r="AB19" i="29"/>
  <c r="AB20" i="29"/>
  <c r="AB21" i="29"/>
  <c r="AB22" i="29"/>
  <c r="AB23" i="29"/>
  <c r="AB24" i="29"/>
  <c r="AB25" i="29"/>
  <c r="AB26" i="29"/>
  <c r="AB27" i="29"/>
  <c r="AB28" i="29"/>
  <c r="AB29" i="29"/>
  <c r="AB30" i="29"/>
  <c r="AB31" i="29"/>
  <c r="AB32" i="29"/>
  <c r="AB33" i="29"/>
  <c r="AB34" i="29"/>
  <c r="AB35" i="29"/>
  <c r="AB10" i="29"/>
  <c r="AC11" i="29"/>
  <c r="AF11" i="29" s="1"/>
  <c r="AD11" i="29"/>
  <c r="AG11" i="29" s="1"/>
  <c r="AE11" i="29"/>
  <c r="AH11" i="29" s="1"/>
  <c r="AC12" i="29"/>
  <c r="AF12" i="29" s="1"/>
  <c r="AD12" i="29"/>
  <c r="AG12" i="29" s="1"/>
  <c r="AE12" i="29"/>
  <c r="AH12" i="29" s="1"/>
  <c r="AC13" i="29"/>
  <c r="AF13" i="29" s="1"/>
  <c r="AD13" i="29"/>
  <c r="AG13" i="29" s="1"/>
  <c r="AE13" i="29"/>
  <c r="AH13" i="29" s="1"/>
  <c r="AC14" i="29"/>
  <c r="AF14" i="29" s="1"/>
  <c r="AD14" i="29"/>
  <c r="AG14" i="29" s="1"/>
  <c r="AE14" i="29"/>
  <c r="AH14" i="29" s="1"/>
  <c r="AC15" i="29"/>
  <c r="AF15" i="29" s="1"/>
  <c r="AD15" i="29"/>
  <c r="AG15" i="29" s="1"/>
  <c r="AE15" i="29"/>
  <c r="AH15" i="29" s="1"/>
  <c r="AC16" i="29"/>
  <c r="AF16" i="29" s="1"/>
  <c r="AD16" i="29"/>
  <c r="AG16" i="29" s="1"/>
  <c r="AE16" i="29"/>
  <c r="AH16" i="29" s="1"/>
  <c r="AC17" i="29"/>
  <c r="AF17" i="29" s="1"/>
  <c r="AD17" i="29"/>
  <c r="AG17" i="29" s="1"/>
  <c r="AE17" i="29"/>
  <c r="AH17" i="29" s="1"/>
  <c r="AC18" i="29"/>
  <c r="AF18" i="29" s="1"/>
  <c r="AD18" i="29"/>
  <c r="AG18" i="29" s="1"/>
  <c r="AE18" i="29"/>
  <c r="AH18" i="29" s="1"/>
  <c r="AC19" i="29"/>
  <c r="AF19" i="29" s="1"/>
  <c r="AD19" i="29"/>
  <c r="AG19" i="29" s="1"/>
  <c r="AE19" i="29"/>
  <c r="AH19" i="29" s="1"/>
  <c r="AC20" i="29"/>
  <c r="AF20" i="29" s="1"/>
  <c r="AD20" i="29"/>
  <c r="AG20" i="29" s="1"/>
  <c r="AE20" i="29"/>
  <c r="AH20" i="29" s="1"/>
  <c r="AC21" i="29"/>
  <c r="AF21" i="29" s="1"/>
  <c r="AD21" i="29"/>
  <c r="AG21" i="29" s="1"/>
  <c r="AE21" i="29"/>
  <c r="AH21" i="29" s="1"/>
  <c r="AC22" i="29"/>
  <c r="AF22" i="29" s="1"/>
  <c r="AD22" i="29"/>
  <c r="AG22" i="29" s="1"/>
  <c r="AE22" i="29"/>
  <c r="AH22" i="29" s="1"/>
  <c r="AC23" i="29"/>
  <c r="AF23" i="29" s="1"/>
  <c r="AD23" i="29"/>
  <c r="AG23" i="29" s="1"/>
  <c r="AE23" i="29"/>
  <c r="AH23" i="29" s="1"/>
  <c r="AE25" i="29"/>
  <c r="AH25" i="29" s="1"/>
  <c r="AC27" i="29"/>
  <c r="AF27" i="29" s="1"/>
  <c r="AC28" i="29"/>
  <c r="AF28" i="29" s="1"/>
  <c r="AD28" i="29"/>
  <c r="AG28" i="29" s="1"/>
  <c r="AE28" i="29"/>
  <c r="AH28" i="29" s="1"/>
  <c r="AD29" i="29"/>
  <c r="AG29" i="29" s="1"/>
  <c r="AE29" i="29"/>
  <c r="AH29" i="29" s="1"/>
  <c r="AC30" i="29"/>
  <c r="AF30" i="29" s="1"/>
  <c r="AC31" i="29"/>
  <c r="AF31" i="29" s="1"/>
  <c r="AD31" i="29"/>
  <c r="AG31" i="29" s="1"/>
  <c r="AE31" i="29"/>
  <c r="AH31" i="29" s="1"/>
  <c r="AC32" i="29"/>
  <c r="AF32" i="29" s="1"/>
  <c r="AC33" i="29"/>
  <c r="AF33" i="29" s="1"/>
  <c r="AE33" i="29"/>
  <c r="AH33" i="29" s="1"/>
  <c r="AD10" i="29"/>
  <c r="AE10" i="29"/>
  <c r="AC10" i="29"/>
  <c r="AA11" i="29"/>
  <c r="B11" i="29" s="1"/>
  <c r="AA12" i="29"/>
  <c r="B12" i="29" s="1"/>
  <c r="AA13" i="29"/>
  <c r="B13" i="29" s="1"/>
  <c r="AA14" i="29"/>
  <c r="B14" i="29" s="1"/>
  <c r="AA15" i="29"/>
  <c r="B15" i="29" s="1"/>
  <c r="AA16" i="29"/>
  <c r="B16" i="29" s="1"/>
  <c r="AA17" i="29"/>
  <c r="B17" i="29" s="1"/>
  <c r="AA18" i="29"/>
  <c r="B18" i="29" s="1"/>
  <c r="AA19" i="29"/>
  <c r="B19" i="29" s="1"/>
  <c r="AA20" i="29"/>
  <c r="B20" i="29" s="1"/>
  <c r="AA21" i="29"/>
  <c r="B21" i="29" s="1"/>
  <c r="AA22" i="29"/>
  <c r="B22" i="29" s="1"/>
  <c r="AA23" i="29"/>
  <c r="B23" i="29" s="1"/>
  <c r="AA24" i="29"/>
  <c r="B24" i="29" s="1"/>
  <c r="AA25" i="29"/>
  <c r="B25" i="29" s="1"/>
  <c r="AA26" i="29"/>
  <c r="B26" i="29" s="1"/>
  <c r="AA27" i="29"/>
  <c r="B27" i="29" s="1"/>
  <c r="AA28" i="29"/>
  <c r="B28" i="29" s="1"/>
  <c r="AA29" i="29"/>
  <c r="B29" i="29" s="1"/>
  <c r="AA30" i="29"/>
  <c r="B30" i="29" s="1"/>
  <c r="AA31" i="29"/>
  <c r="B31" i="29" s="1"/>
  <c r="AA32" i="29"/>
  <c r="B32" i="29" s="1"/>
  <c r="AA33" i="29"/>
  <c r="B33" i="29" s="1"/>
  <c r="AA34" i="29"/>
  <c r="B34" i="29" s="1"/>
  <c r="AA35" i="29"/>
  <c r="AA10" i="29"/>
  <c r="B10" i="29" s="1"/>
  <c r="D11" i="29"/>
  <c r="BK4" i="18"/>
  <c r="BJ4" i="18"/>
  <c r="BI4" i="18"/>
  <c r="BH4" i="18"/>
  <c r="BG4" i="18"/>
  <c r="AJ38" i="18" s="1"/>
  <c r="BK3" i="18"/>
  <c r="BJ3" i="18"/>
  <c r="BI3" i="18"/>
  <c r="BH3" i="18"/>
  <c r="BG3" i="18"/>
  <c r="AJ37" i="18" s="1"/>
  <c r="Q27" i="8" l="1"/>
  <c r="Q19" i="8"/>
  <c r="T19" i="8"/>
  <c r="H118" i="21"/>
  <c r="H72" i="21"/>
  <c r="AR48" i="29" l="1"/>
  <c r="AR47" i="29"/>
  <c r="AQ48" i="29"/>
  <c r="AQ47" i="29"/>
  <c r="AA138" i="29" l="1"/>
  <c r="AB138" i="29"/>
  <c r="I29" i="30" s="1"/>
  <c r="AC138" i="29"/>
  <c r="J29" i="30" s="1"/>
  <c r="AD138" i="29"/>
  <c r="K29" i="30" s="1"/>
  <c r="AH138" i="29"/>
  <c r="AI138" i="29" s="1"/>
  <c r="AA139" i="29"/>
  <c r="AB139" i="29"/>
  <c r="AE139" i="29" s="1"/>
  <c r="AC139" i="29"/>
  <c r="AF139" i="29" s="1"/>
  <c r="AD139" i="29"/>
  <c r="AG139" i="29" s="1"/>
  <c r="AH139" i="29"/>
  <c r="AI139" i="29" s="1"/>
  <c r="AA140" i="29"/>
  <c r="AC140" i="29"/>
  <c r="AF140" i="29" s="1"/>
  <c r="AD140" i="29"/>
  <c r="AG140" i="29" s="1"/>
  <c r="AH140" i="29"/>
  <c r="AI140" i="29" s="1"/>
  <c r="AA141" i="29"/>
  <c r="AC141" i="29"/>
  <c r="AD141" i="29"/>
  <c r="AG141" i="29" s="1"/>
  <c r="AF141" i="29"/>
  <c r="AH141" i="29"/>
  <c r="AI141" i="29" s="1"/>
  <c r="AA142" i="29"/>
  <c r="AC142" i="29"/>
  <c r="AF142" i="29" s="1"/>
  <c r="AD142" i="29"/>
  <c r="AG142" i="29" s="1"/>
  <c r="AH142" i="29"/>
  <c r="AI142" i="29" s="1"/>
  <c r="AA143" i="29"/>
  <c r="AC143" i="29"/>
  <c r="AF143" i="29" s="1"/>
  <c r="AD143" i="29"/>
  <c r="AG143" i="29" s="1"/>
  <c r="AH143" i="29"/>
  <c r="AI143" i="29" s="1"/>
  <c r="AA144" i="29"/>
  <c r="AC144" i="29"/>
  <c r="AD144" i="29"/>
  <c r="AG144" i="29" s="1"/>
  <c r="AF144" i="29"/>
  <c r="AH144" i="29"/>
  <c r="AI144" i="29" s="1"/>
  <c r="AA145" i="29"/>
  <c r="AC145" i="29"/>
  <c r="AF145" i="29" s="1"/>
  <c r="AD145" i="29"/>
  <c r="AG145" i="29" s="1"/>
  <c r="AH145" i="29"/>
  <c r="AI145" i="29" s="1"/>
  <c r="AA146" i="29"/>
  <c r="AC146" i="29"/>
  <c r="AF146" i="29" s="1"/>
  <c r="AD146" i="29"/>
  <c r="AG146" i="29" s="1"/>
  <c r="AH146" i="29"/>
  <c r="AI146" i="29" s="1"/>
  <c r="AA147" i="29"/>
  <c r="AC147" i="29"/>
  <c r="AF147" i="29" s="1"/>
  <c r="AD147" i="29"/>
  <c r="AG147" i="29" s="1"/>
  <c r="AH147" i="29"/>
  <c r="AI147" i="29" s="1"/>
  <c r="AA148" i="29"/>
  <c r="AC148" i="29"/>
  <c r="AF148" i="29" s="1"/>
  <c r="AD148" i="29"/>
  <c r="AG148" i="29" s="1"/>
  <c r="AH148" i="29"/>
  <c r="AI148" i="29" s="1"/>
  <c r="AA149" i="29"/>
  <c r="AC149" i="29"/>
  <c r="AF149" i="29" s="1"/>
  <c r="AD149" i="29"/>
  <c r="AG149" i="29" s="1"/>
  <c r="AH149" i="29"/>
  <c r="AI149" i="29" s="1"/>
  <c r="AA150" i="29"/>
  <c r="AC150" i="29"/>
  <c r="AF150" i="29" s="1"/>
  <c r="AD150" i="29"/>
  <c r="AG150" i="29" s="1"/>
  <c r="AH150" i="29"/>
  <c r="AI150" i="29" s="1"/>
  <c r="AA151" i="29"/>
  <c r="AC151" i="29"/>
  <c r="AF151" i="29" s="1"/>
  <c r="AD151" i="29"/>
  <c r="AG151" i="29" s="1"/>
  <c r="AH151" i="29"/>
  <c r="AI151" i="29" s="1"/>
  <c r="AA152" i="29"/>
  <c r="AB152" i="29"/>
  <c r="AE152" i="29" s="1"/>
  <c r="AC152" i="29"/>
  <c r="AF152" i="29" s="1"/>
  <c r="AD152" i="29"/>
  <c r="AG152" i="29" s="1"/>
  <c r="AH152" i="29"/>
  <c r="AI152" i="29" s="1"/>
  <c r="BV94" i="19"/>
  <c r="AB142" i="29" s="1"/>
  <c r="AE142" i="29" s="1"/>
  <c r="BV93" i="19"/>
  <c r="AB141" i="29" s="1"/>
  <c r="AE141" i="29" s="1"/>
  <c r="AG138" i="29" l="1"/>
  <c r="AL138" i="29" s="1"/>
  <c r="AE138" i="29"/>
  <c r="AJ138" i="29" s="1"/>
  <c r="AF138" i="29"/>
  <c r="AL150" i="29"/>
  <c r="AJ152" i="29"/>
  <c r="AL146" i="29"/>
  <c r="AL148" i="29"/>
  <c r="AL144" i="29"/>
  <c r="AL151" i="29"/>
  <c r="AL149" i="29"/>
  <c r="AL147" i="29"/>
  <c r="AL145" i="29"/>
  <c r="AL143" i="29"/>
  <c r="AL152" i="29"/>
  <c r="AK142" i="29"/>
  <c r="AJ142" i="29"/>
  <c r="AK141" i="29"/>
  <c r="AJ141" i="29"/>
  <c r="AL141" i="29"/>
  <c r="AK140" i="29"/>
  <c r="AL140" i="29"/>
  <c r="AK139" i="29"/>
  <c r="AJ139" i="29"/>
  <c r="AL139" i="29"/>
  <c r="AK152" i="29"/>
  <c r="AK151" i="29"/>
  <c r="AK150" i="29"/>
  <c r="AK149" i="29"/>
  <c r="AK148" i="29"/>
  <c r="AK147" i="29"/>
  <c r="AK146" i="29"/>
  <c r="AK145" i="29"/>
  <c r="AK144" i="29"/>
  <c r="AK143" i="29"/>
  <c r="AL142" i="29"/>
  <c r="AD82" i="26"/>
  <c r="AD81" i="26"/>
  <c r="AD80" i="26"/>
  <c r="AD78" i="26"/>
  <c r="AD77" i="26"/>
  <c r="AD76" i="26"/>
  <c r="AD74" i="26"/>
  <c r="AD73" i="26"/>
  <c r="AD72" i="26"/>
  <c r="AD70" i="26"/>
  <c r="AD69" i="26"/>
  <c r="AD68" i="26"/>
  <c r="AD66" i="26"/>
  <c r="AD65" i="26"/>
  <c r="AD64" i="26"/>
  <c r="AD60" i="26"/>
  <c r="AD59" i="26"/>
  <c r="AD56" i="26"/>
  <c r="AD55" i="26"/>
  <c r="AD54" i="26"/>
  <c r="AD52" i="26"/>
  <c r="AD51" i="26"/>
  <c r="AD48" i="26"/>
  <c r="AD47" i="26"/>
  <c r="AK138" i="29" l="1"/>
  <c r="BV103" i="19"/>
  <c r="AB151" i="29" s="1"/>
  <c r="AE151" i="29" s="1"/>
  <c r="BV102" i="19"/>
  <c r="AB150" i="29" s="1"/>
  <c r="AE150" i="29" s="1"/>
  <c r="BV101" i="19"/>
  <c r="AB149" i="29" s="1"/>
  <c r="AE149" i="29" s="1"/>
  <c r="BV100" i="19"/>
  <c r="AB148" i="29" s="1"/>
  <c r="AE148" i="29" s="1"/>
  <c r="BV99" i="19"/>
  <c r="AB147" i="29" s="1"/>
  <c r="AE147" i="29" s="1"/>
  <c r="BV98" i="19"/>
  <c r="AB146" i="29" s="1"/>
  <c r="AE146" i="29" s="1"/>
  <c r="BV97" i="19"/>
  <c r="AB145" i="29" s="1"/>
  <c r="AE145" i="29" s="1"/>
  <c r="BV96" i="19"/>
  <c r="AB144" i="29" s="1"/>
  <c r="AE144" i="29" s="1"/>
  <c r="BV95" i="19"/>
  <c r="AB143" i="29" s="1"/>
  <c r="AE143" i="29" s="1"/>
  <c r="BV92" i="19"/>
  <c r="AB140" i="29" s="1"/>
  <c r="AE140" i="29" s="1"/>
  <c r="AD137" i="29"/>
  <c r="AC137" i="29"/>
  <c r="AB137" i="29"/>
  <c r="AA137" i="29"/>
  <c r="BX72" i="19"/>
  <c r="AD115" i="29" s="1"/>
  <c r="AG115" i="29" s="1"/>
  <c r="BW72" i="19"/>
  <c r="AA115" i="29"/>
  <c r="AB115" i="29"/>
  <c r="AE115" i="29" s="1"/>
  <c r="AC115" i="29"/>
  <c r="AF115" i="29" s="1"/>
  <c r="AR49" i="29"/>
  <c r="AQ49" i="29"/>
  <c r="AP47" i="29"/>
  <c r="AP48" i="29"/>
  <c r="BX56" i="19"/>
  <c r="BW56" i="19"/>
  <c r="BV56" i="19"/>
  <c r="BX55" i="19"/>
  <c r="BW55" i="19"/>
  <c r="BV55" i="19"/>
  <c r="BX54" i="19"/>
  <c r="BW54" i="19"/>
  <c r="BV54" i="19"/>
  <c r="BX53" i="19"/>
  <c r="BW53" i="19"/>
  <c r="BV53" i="19"/>
  <c r="BX52" i="19"/>
  <c r="BW52" i="19"/>
  <c r="BV52" i="19"/>
  <c r="BX51" i="19"/>
  <c r="BW51" i="19"/>
  <c r="BV51" i="19"/>
  <c r="BX50" i="19"/>
  <c r="BW50" i="19"/>
  <c r="BV50" i="19"/>
  <c r="BW49" i="19"/>
  <c r="BV49" i="19"/>
  <c r="BX48" i="19"/>
  <c r="BW48" i="19"/>
  <c r="BV48" i="19"/>
  <c r="BX47" i="19"/>
  <c r="BW47" i="19"/>
  <c r="BV47" i="19"/>
  <c r="BV46" i="19"/>
  <c r="BX45" i="19"/>
  <c r="BW45" i="19"/>
  <c r="BV45" i="19"/>
  <c r="BX44" i="19"/>
  <c r="BW44" i="19"/>
  <c r="BV44" i="19"/>
  <c r="BW43" i="19"/>
  <c r="BV43" i="19"/>
  <c r="BX42" i="19"/>
  <c r="BW42" i="19"/>
  <c r="BV42" i="19"/>
  <c r="BX41" i="19"/>
  <c r="BW41" i="19"/>
  <c r="BV41" i="19"/>
  <c r="BX40" i="19"/>
  <c r="BW40" i="19"/>
  <c r="BV40" i="19"/>
  <c r="BX39" i="19"/>
  <c r="BW39" i="19"/>
  <c r="BV39" i="19"/>
  <c r="BX38" i="19"/>
  <c r="BW38" i="19"/>
  <c r="BV38" i="19"/>
  <c r="BX37" i="19"/>
  <c r="BW37" i="19"/>
  <c r="BV37" i="19"/>
  <c r="BX36" i="19"/>
  <c r="BW36" i="19"/>
  <c r="BV36" i="19"/>
  <c r="BX35" i="19"/>
  <c r="BW35" i="19"/>
  <c r="BV35" i="19"/>
  <c r="BX34" i="19"/>
  <c r="BW34" i="19"/>
  <c r="BV34" i="19"/>
  <c r="BV33" i="19"/>
  <c r="BX32" i="19"/>
  <c r="BW32" i="19"/>
  <c r="BV32" i="19"/>
  <c r="BV31" i="19"/>
  <c r="BX30" i="19"/>
  <c r="BW30" i="19"/>
  <c r="BV30" i="19"/>
  <c r="BX29" i="19"/>
  <c r="BW29" i="19"/>
  <c r="BV29" i="19"/>
  <c r="BX28" i="19"/>
  <c r="BW28" i="19"/>
  <c r="BV28" i="19"/>
  <c r="BX27" i="19"/>
  <c r="BW27" i="19"/>
  <c r="BV27" i="19"/>
  <c r="BX26" i="19"/>
  <c r="BW26" i="19"/>
  <c r="BV26" i="19"/>
  <c r="BX25" i="19"/>
  <c r="BW25" i="19"/>
  <c r="BV25" i="19"/>
  <c r="BX24" i="19"/>
  <c r="BW24" i="19"/>
  <c r="BV24" i="19"/>
  <c r="BX23" i="19"/>
  <c r="BW23" i="19"/>
  <c r="BV23" i="19"/>
  <c r="BX22" i="19"/>
  <c r="BW22" i="19"/>
  <c r="BV22" i="19"/>
  <c r="BX21" i="19"/>
  <c r="BW21" i="19"/>
  <c r="BV21" i="19"/>
  <c r="BX20" i="19"/>
  <c r="BW20" i="19"/>
  <c r="BX19" i="19"/>
  <c r="BV19" i="19"/>
  <c r="BX18" i="19"/>
  <c r="BW18" i="19"/>
  <c r="BV18" i="19"/>
  <c r="BX17" i="19"/>
  <c r="BW17" i="19"/>
  <c r="BV17" i="19"/>
  <c r="AJ143" i="29" l="1"/>
  <c r="AJ145" i="29"/>
  <c r="AJ147" i="29"/>
  <c r="AJ149" i="29"/>
  <c r="AJ151" i="29"/>
  <c r="AJ140" i="29"/>
  <c r="AJ144" i="29"/>
  <c r="AJ146" i="29"/>
  <c r="AJ148" i="29"/>
  <c r="AJ150" i="29"/>
  <c r="AE137" i="29"/>
  <c r="AJ137" i="29" s="1"/>
  <c r="AG137" i="29"/>
  <c r="AL137" i="29" s="1"/>
  <c r="AF137" i="29"/>
  <c r="E33" i="28"/>
  <c r="D33" i="28"/>
  <c r="AP49" i="29"/>
  <c r="AB124" i="29"/>
  <c r="AE124" i="29" s="1"/>
  <c r="AC124" i="29"/>
  <c r="AF124" i="29" s="1"/>
  <c r="AD124" i="29"/>
  <c r="AG124" i="29" s="1"/>
  <c r="AB125" i="29"/>
  <c r="AE125" i="29" s="1"/>
  <c r="AC125" i="29"/>
  <c r="AF125" i="29" s="1"/>
  <c r="AD125" i="29"/>
  <c r="AG125" i="29" s="1"/>
  <c r="AB126" i="29"/>
  <c r="AE126" i="29" s="1"/>
  <c r="AC126" i="29"/>
  <c r="AF126" i="29" s="1"/>
  <c r="AD126" i="29"/>
  <c r="AG126" i="29" s="1"/>
  <c r="AB127" i="29"/>
  <c r="AE127" i="29" s="1"/>
  <c r="AC127" i="29"/>
  <c r="AF127" i="29" s="1"/>
  <c r="AD127" i="29"/>
  <c r="AG127" i="29" s="1"/>
  <c r="AB128" i="29"/>
  <c r="AE128" i="29" s="1"/>
  <c r="AC128" i="29"/>
  <c r="AF128" i="29" s="1"/>
  <c r="AD128" i="29"/>
  <c r="AG128" i="29" s="1"/>
  <c r="AB129" i="29"/>
  <c r="AE129" i="29" s="1"/>
  <c r="AC129" i="29"/>
  <c r="AF129" i="29" s="1"/>
  <c r="AD129" i="29"/>
  <c r="AG129" i="29" s="1"/>
  <c r="AB130" i="29"/>
  <c r="AE130" i="29" s="1"/>
  <c r="AC130" i="29"/>
  <c r="AF130" i="29" s="1"/>
  <c r="AD130" i="29"/>
  <c r="AG130" i="29" s="1"/>
  <c r="AB131" i="29"/>
  <c r="AE131" i="29" s="1"/>
  <c r="AC131" i="29"/>
  <c r="AF131" i="29" s="1"/>
  <c r="AD131" i="29"/>
  <c r="AG131" i="29" s="1"/>
  <c r="AB132" i="29"/>
  <c r="AE132" i="29" s="1"/>
  <c r="AC132" i="29"/>
  <c r="AF132" i="29" s="1"/>
  <c r="AD132" i="29"/>
  <c r="AG132" i="29" s="1"/>
  <c r="AB133" i="29"/>
  <c r="AE133" i="29" s="1"/>
  <c r="AC133" i="29"/>
  <c r="AF133" i="29" s="1"/>
  <c r="AD133" i="29"/>
  <c r="AG133" i="29" s="1"/>
  <c r="AB134" i="29"/>
  <c r="AE134" i="29" s="1"/>
  <c r="AC134" i="29"/>
  <c r="AF134" i="29" s="1"/>
  <c r="AD134" i="29"/>
  <c r="AG134" i="29" s="1"/>
  <c r="AC123" i="29"/>
  <c r="AF123" i="29" s="1"/>
  <c r="AD123" i="29"/>
  <c r="AG123" i="29" s="1"/>
  <c r="AB123" i="29"/>
  <c r="AE123" i="29" s="1"/>
  <c r="AA124" i="29"/>
  <c r="AA125" i="29"/>
  <c r="AA126" i="29"/>
  <c r="AA127" i="29"/>
  <c r="AA128" i="29"/>
  <c r="AA129" i="29"/>
  <c r="AA130" i="29"/>
  <c r="AA131" i="29"/>
  <c r="AA132" i="29"/>
  <c r="AA133" i="29"/>
  <c r="AA134" i="29"/>
  <c r="AA123" i="29"/>
  <c r="AA110" i="29"/>
  <c r="AC110" i="29"/>
  <c r="AF110" i="29" s="1"/>
  <c r="AD110" i="29"/>
  <c r="AG110" i="29" s="1"/>
  <c r="AA111" i="29"/>
  <c r="AB111" i="29"/>
  <c r="AE111" i="29" s="1"/>
  <c r="AA112" i="29"/>
  <c r="AB112" i="29"/>
  <c r="AE112" i="29" s="1"/>
  <c r="AC112" i="29"/>
  <c r="AF112" i="29" s="1"/>
  <c r="AD112" i="29"/>
  <c r="AG112" i="29" s="1"/>
  <c r="AA113" i="29"/>
  <c r="AB113" i="29"/>
  <c r="AE113" i="29" s="1"/>
  <c r="AC113" i="29"/>
  <c r="AF113" i="29" s="1"/>
  <c r="AD113" i="29"/>
  <c r="AG113" i="29" s="1"/>
  <c r="AA114" i="29"/>
  <c r="AB114" i="29"/>
  <c r="AE114" i="29" s="1"/>
  <c r="AD106" i="29"/>
  <c r="AG106" i="29" s="1"/>
  <c r="AC106" i="29"/>
  <c r="AF106" i="29" s="1"/>
  <c r="AA106" i="29"/>
  <c r="AD105" i="29"/>
  <c r="AG105" i="29" s="1"/>
  <c r="AC105" i="29"/>
  <c r="AF105" i="29" s="1"/>
  <c r="AA105" i="29"/>
  <c r="AD104" i="29"/>
  <c r="AG104" i="29" s="1"/>
  <c r="AC104" i="29"/>
  <c r="AF104" i="29" s="1"/>
  <c r="AA104" i="29"/>
  <c r="AD103" i="29"/>
  <c r="AG103" i="29" s="1"/>
  <c r="AC103" i="29"/>
  <c r="AF103" i="29" s="1"/>
  <c r="AA103" i="29"/>
  <c r="AD102" i="29"/>
  <c r="AG102" i="29" s="1"/>
  <c r="AC102" i="29"/>
  <c r="AF102" i="29" s="1"/>
  <c r="AA102" i="29"/>
  <c r="AD101" i="29"/>
  <c r="AG101" i="29" s="1"/>
  <c r="AC101" i="29"/>
  <c r="AF101" i="29" s="1"/>
  <c r="AA101" i="29"/>
  <c r="AD98" i="29"/>
  <c r="AG98" i="29" s="1"/>
  <c r="AC98" i="29"/>
  <c r="AF98" i="29" s="1"/>
  <c r="AB98" i="29"/>
  <c r="AE98" i="29" s="1"/>
  <c r="AA98" i="29"/>
  <c r="AD97" i="29"/>
  <c r="AG97" i="29" s="1"/>
  <c r="AC97" i="29"/>
  <c r="AF97" i="29" s="1"/>
  <c r="AB97" i="29"/>
  <c r="AE97" i="29" s="1"/>
  <c r="AA97" i="29"/>
  <c r="AD96" i="29"/>
  <c r="AG96" i="29" s="1"/>
  <c r="AC96" i="29"/>
  <c r="AF96" i="29" s="1"/>
  <c r="AB96" i="29"/>
  <c r="AE96" i="29" s="1"/>
  <c r="AA96" i="29"/>
  <c r="AD95" i="29"/>
  <c r="AG95" i="29" s="1"/>
  <c r="AC95" i="29"/>
  <c r="AF95" i="29" s="1"/>
  <c r="AB95" i="29"/>
  <c r="AE95" i="29" s="1"/>
  <c r="AA95" i="29"/>
  <c r="AD94" i="29"/>
  <c r="AG94" i="29" s="1"/>
  <c r="AC94" i="29"/>
  <c r="AF94" i="29" s="1"/>
  <c r="AB94" i="29"/>
  <c r="AE94" i="29" s="1"/>
  <c r="AA94" i="29"/>
  <c r="AD93" i="29"/>
  <c r="AG93" i="29" s="1"/>
  <c r="AC93" i="29"/>
  <c r="AF93" i="29" s="1"/>
  <c r="AB93" i="29"/>
  <c r="AE93" i="29" s="1"/>
  <c r="AA93" i="29"/>
  <c r="AD92" i="29"/>
  <c r="AG92" i="29" s="1"/>
  <c r="AC92" i="29"/>
  <c r="AF92" i="29" s="1"/>
  <c r="AB92" i="29"/>
  <c r="AE92" i="29" s="1"/>
  <c r="AA92" i="29"/>
  <c r="AC91" i="29"/>
  <c r="AF91" i="29" s="1"/>
  <c r="AB91" i="29"/>
  <c r="AE91" i="29" s="1"/>
  <c r="AA91" i="29"/>
  <c r="AD90" i="29"/>
  <c r="AG90" i="29" s="1"/>
  <c r="AC90" i="29"/>
  <c r="AF90" i="29" s="1"/>
  <c r="AB90" i="29"/>
  <c r="AE90" i="29" s="1"/>
  <c r="AA90" i="29"/>
  <c r="AD89" i="29"/>
  <c r="AG89" i="29" s="1"/>
  <c r="AC89" i="29"/>
  <c r="AF89" i="29" s="1"/>
  <c r="AB89" i="29"/>
  <c r="AE89" i="29" s="1"/>
  <c r="AA89" i="29"/>
  <c r="AB88" i="29"/>
  <c r="AE88" i="29" s="1"/>
  <c r="AA88" i="29"/>
  <c r="AD87" i="29"/>
  <c r="AG87" i="29" s="1"/>
  <c r="AC87" i="29"/>
  <c r="AF87" i="29" s="1"/>
  <c r="AB87" i="29"/>
  <c r="AE87" i="29" s="1"/>
  <c r="AA87" i="29"/>
  <c r="AD86" i="29"/>
  <c r="AG86" i="29" s="1"/>
  <c r="AC86" i="29"/>
  <c r="AF86" i="29" s="1"/>
  <c r="AB86" i="29"/>
  <c r="AE86" i="29" s="1"/>
  <c r="AA86" i="29"/>
  <c r="AC85" i="29"/>
  <c r="AF85" i="29" s="1"/>
  <c r="AB85" i="29"/>
  <c r="AE85" i="29" s="1"/>
  <c r="AA85" i="29"/>
  <c r="AD84" i="29"/>
  <c r="AG84" i="29" s="1"/>
  <c r="AC84" i="29"/>
  <c r="AF84" i="29" s="1"/>
  <c r="AB84" i="29"/>
  <c r="AE84" i="29" s="1"/>
  <c r="AA84" i="29"/>
  <c r="AD83" i="29"/>
  <c r="AG83" i="29" s="1"/>
  <c r="AC83" i="29"/>
  <c r="AF83" i="29" s="1"/>
  <c r="AB83" i="29"/>
  <c r="AE83" i="29" s="1"/>
  <c r="AA83" i="29"/>
  <c r="AD82" i="29"/>
  <c r="AG82" i="29" s="1"/>
  <c r="AC82" i="29"/>
  <c r="AF82" i="29" s="1"/>
  <c r="AB82" i="29"/>
  <c r="AE82" i="29" s="1"/>
  <c r="AA82" i="29"/>
  <c r="AD81" i="29"/>
  <c r="AG81" i="29" s="1"/>
  <c r="AC81" i="29"/>
  <c r="AF81" i="29" s="1"/>
  <c r="AB81" i="29"/>
  <c r="AE81" i="29" s="1"/>
  <c r="AA81" i="29"/>
  <c r="AD80" i="29"/>
  <c r="AG80" i="29" s="1"/>
  <c r="AC80" i="29"/>
  <c r="AF80" i="29" s="1"/>
  <c r="AB80" i="29"/>
  <c r="AE80" i="29" s="1"/>
  <c r="AA80" i="29"/>
  <c r="AD79" i="29"/>
  <c r="AG79" i="29" s="1"/>
  <c r="AC79" i="29"/>
  <c r="AF79" i="29" s="1"/>
  <c r="AB79" i="29"/>
  <c r="AE79" i="29" s="1"/>
  <c r="AA79" i="29"/>
  <c r="AD78" i="29"/>
  <c r="AG78" i="29" s="1"/>
  <c r="AC78" i="29"/>
  <c r="AF78" i="29" s="1"/>
  <c r="AB78" i="29"/>
  <c r="AE78" i="29" s="1"/>
  <c r="AA78" i="29"/>
  <c r="AD77" i="29"/>
  <c r="AG77" i="29" s="1"/>
  <c r="AC77" i="29"/>
  <c r="AF77" i="29" s="1"/>
  <c r="AB77" i="29"/>
  <c r="AE77" i="29" s="1"/>
  <c r="AA77" i="29"/>
  <c r="AD76" i="29"/>
  <c r="AG76" i="29" s="1"/>
  <c r="AC76" i="29"/>
  <c r="AF76" i="29" s="1"/>
  <c r="AB76" i="29"/>
  <c r="AE76" i="29" s="1"/>
  <c r="AA76" i="29"/>
  <c r="AB75" i="29"/>
  <c r="AE75" i="29" s="1"/>
  <c r="AA75" i="29"/>
  <c r="AD74" i="29"/>
  <c r="AG74" i="29" s="1"/>
  <c r="AC74" i="29"/>
  <c r="AF74" i="29" s="1"/>
  <c r="AB74" i="29"/>
  <c r="AE74" i="29" s="1"/>
  <c r="AA74" i="29"/>
  <c r="AB73" i="29"/>
  <c r="AE73" i="29" s="1"/>
  <c r="AA73" i="29"/>
  <c r="AD72" i="29"/>
  <c r="AG72" i="29" s="1"/>
  <c r="AC72" i="29"/>
  <c r="AF72" i="29" s="1"/>
  <c r="AB72" i="29"/>
  <c r="AE72" i="29" s="1"/>
  <c r="AA72" i="29"/>
  <c r="AD71" i="29"/>
  <c r="AG71" i="29" s="1"/>
  <c r="AC71" i="29"/>
  <c r="AF71" i="29" s="1"/>
  <c r="AB71" i="29"/>
  <c r="AE71" i="29" s="1"/>
  <c r="AA71" i="29"/>
  <c r="AD70" i="29"/>
  <c r="AG70" i="29" s="1"/>
  <c r="AC70" i="29"/>
  <c r="AF70" i="29" s="1"/>
  <c r="AB70" i="29"/>
  <c r="AE70" i="29" s="1"/>
  <c r="AA70" i="29"/>
  <c r="AD69" i="29"/>
  <c r="AG69" i="29" s="1"/>
  <c r="AC69" i="29"/>
  <c r="AF69" i="29" s="1"/>
  <c r="AB69" i="29"/>
  <c r="AE69" i="29" s="1"/>
  <c r="AA69" i="29"/>
  <c r="AD68" i="29"/>
  <c r="AG68" i="29" s="1"/>
  <c r="AC68" i="29"/>
  <c r="AF68" i="29" s="1"/>
  <c r="AB68" i="29"/>
  <c r="AE68" i="29" s="1"/>
  <c r="AA68" i="29"/>
  <c r="AD67" i="29"/>
  <c r="AG67" i="29" s="1"/>
  <c r="AC67" i="29"/>
  <c r="AF67" i="29" s="1"/>
  <c r="AB67" i="29"/>
  <c r="AE67" i="29" s="1"/>
  <c r="AA67" i="29"/>
  <c r="AD66" i="29"/>
  <c r="AG66" i="29" s="1"/>
  <c r="AC66" i="29"/>
  <c r="AF66" i="29" s="1"/>
  <c r="AB66" i="29"/>
  <c r="AE66" i="29" s="1"/>
  <c r="AA66" i="29"/>
  <c r="AD65" i="29"/>
  <c r="AG65" i="29" s="1"/>
  <c r="AC65" i="29"/>
  <c r="AF65" i="29" s="1"/>
  <c r="AB65" i="29"/>
  <c r="AE65" i="29" s="1"/>
  <c r="AA65" i="29"/>
  <c r="AD64" i="29"/>
  <c r="AG64" i="29" s="1"/>
  <c r="AC64" i="29"/>
  <c r="AF64" i="29" s="1"/>
  <c r="AB64" i="29"/>
  <c r="AE64" i="29" s="1"/>
  <c r="AA64" i="29"/>
  <c r="AD63" i="29"/>
  <c r="AG63" i="29" s="1"/>
  <c r="AC63" i="29"/>
  <c r="AF63" i="29" s="1"/>
  <c r="AB63" i="29"/>
  <c r="AE63" i="29" s="1"/>
  <c r="AA63" i="29"/>
  <c r="AD62" i="29"/>
  <c r="AG62" i="29" s="1"/>
  <c r="AC62" i="29"/>
  <c r="AF62" i="29" s="1"/>
  <c r="AA62" i="29"/>
  <c r="AD61" i="29"/>
  <c r="AG61" i="29" s="1"/>
  <c r="AB61" i="29"/>
  <c r="AE61" i="29" s="1"/>
  <c r="AA61" i="29"/>
  <c r="AD60" i="29"/>
  <c r="AG60" i="29" s="1"/>
  <c r="AC60" i="29"/>
  <c r="AF60" i="29" s="1"/>
  <c r="AB60" i="29"/>
  <c r="AE60" i="29" s="1"/>
  <c r="AA60" i="29"/>
  <c r="AD59" i="29"/>
  <c r="AG59" i="29" s="1"/>
  <c r="AC59" i="29"/>
  <c r="AF59" i="29" s="1"/>
  <c r="AB59" i="29"/>
  <c r="AE59" i="29" s="1"/>
  <c r="AA59" i="29"/>
  <c r="AD56" i="29"/>
  <c r="AG56" i="29" s="1"/>
  <c r="AA56" i="29"/>
  <c r="AD55" i="29"/>
  <c r="AG55" i="29" s="1"/>
  <c r="AA55" i="29"/>
  <c r="AD54" i="29"/>
  <c r="AG54" i="29" s="1"/>
  <c r="AA54" i="29"/>
  <c r="AD53" i="29"/>
  <c r="AG53" i="29" s="1"/>
  <c r="AA53" i="29"/>
  <c r="AD52" i="29"/>
  <c r="AG52" i="29" s="1"/>
  <c r="AA52" i="29"/>
  <c r="AD51" i="29"/>
  <c r="AG51" i="29" s="1"/>
  <c r="AA51" i="29"/>
  <c r="AD50" i="29"/>
  <c r="AG50" i="29" s="1"/>
  <c r="AA50" i="29"/>
  <c r="AD49" i="29"/>
  <c r="AG49" i="29" s="1"/>
  <c r="AA49" i="29"/>
  <c r="AD48" i="29"/>
  <c r="AG48" i="29" s="1"/>
  <c r="AA48" i="29"/>
  <c r="AD47" i="29"/>
  <c r="AG47" i="29" s="1"/>
  <c r="AA47" i="29"/>
  <c r="B4" i="29"/>
  <c r="B2" i="29"/>
  <c r="AH10" i="29"/>
  <c r="AG10" i="29"/>
  <c r="AE82" i="26"/>
  <c r="AE81" i="26"/>
  <c r="AE80" i="26"/>
  <c r="AE78" i="26"/>
  <c r="AE77" i="26"/>
  <c r="AE76" i="26"/>
  <c r="AE74" i="26"/>
  <c r="AE73" i="26"/>
  <c r="AE72" i="26"/>
  <c r="AE70" i="26"/>
  <c r="AE69" i="26"/>
  <c r="AE68" i="26"/>
  <c r="AE66" i="26"/>
  <c r="AE65" i="26"/>
  <c r="AE64" i="26"/>
  <c r="AE60" i="26"/>
  <c r="AE59" i="26"/>
  <c r="AE56" i="26"/>
  <c r="AE55" i="26"/>
  <c r="AE54" i="26"/>
  <c r="AE52" i="26"/>
  <c r="AE51" i="26"/>
  <c r="AE48" i="26"/>
  <c r="AE47" i="26"/>
  <c r="AD42" i="26"/>
  <c r="AD41" i="26"/>
  <c r="AD40" i="26"/>
  <c r="AD38" i="26"/>
  <c r="AD37" i="26"/>
  <c r="AD36" i="26"/>
  <c r="AD34" i="26"/>
  <c r="AD33" i="26"/>
  <c r="AD32" i="26"/>
  <c r="AD30" i="26"/>
  <c r="AD29" i="26"/>
  <c r="AD28" i="26"/>
  <c r="AD26" i="26"/>
  <c r="AD25" i="26"/>
  <c r="AD24" i="26"/>
  <c r="AD20" i="26"/>
  <c r="AD7" i="26"/>
  <c r="AD8" i="26"/>
  <c r="AD11" i="26"/>
  <c r="AD12" i="26"/>
  <c r="AD14" i="26"/>
  <c r="AD15" i="26"/>
  <c r="AD16" i="26"/>
  <c r="AD18" i="26"/>
  <c r="AD19" i="26"/>
  <c r="AI100" i="18"/>
  <c r="AJ100" i="18"/>
  <c r="AK100" i="18"/>
  <c r="AA100" i="18"/>
  <c r="AB100" i="18"/>
  <c r="AF100" i="18" s="1"/>
  <c r="AC100" i="18"/>
  <c r="AG100" i="18" s="1"/>
  <c r="AI125" i="18"/>
  <c r="AJ125" i="18"/>
  <c r="AK125" i="18"/>
  <c r="AA125" i="18"/>
  <c r="AZ111" i="18" s="1"/>
  <c r="AB125" i="18"/>
  <c r="AF125" i="18" s="1"/>
  <c r="AC125" i="18"/>
  <c r="AG125" i="18" s="1"/>
  <c r="AU190" i="19"/>
  <c r="AU165" i="19"/>
  <c r="AU138" i="19"/>
  <c r="AK47" i="26"/>
  <c r="AD58" i="26" s="1"/>
  <c r="AE58" i="26" s="1"/>
  <c r="AK48" i="26"/>
  <c r="AK49" i="26"/>
  <c r="AD50" i="26" s="1"/>
  <c r="AE50" i="26" s="1"/>
  <c r="AK50" i="26"/>
  <c r="AD46" i="26" s="1"/>
  <c r="AE46" i="26" s="1"/>
  <c r="AK51" i="26"/>
  <c r="AK52" i="26"/>
  <c r="AK53" i="26"/>
  <c r="AK54" i="26"/>
  <c r="AK55" i="26"/>
  <c r="AK56" i="26"/>
  <c r="AK57" i="26"/>
  <c r="AK58" i="26"/>
  <c r="AK59" i="26"/>
  <c r="AK60" i="26"/>
  <c r="AK6" i="26"/>
  <c r="AK7" i="26"/>
  <c r="AK8" i="26"/>
  <c r="AK9" i="26"/>
  <c r="AK10" i="26"/>
  <c r="AK11" i="26"/>
  <c r="AK12" i="26"/>
  <c r="AK13" i="26"/>
  <c r="AK14" i="26"/>
  <c r="AK15" i="26"/>
  <c r="AK16" i="26"/>
  <c r="AE125" i="18" l="1"/>
  <c r="AD10" i="26"/>
  <c r="AR41" i="29"/>
  <c r="AD6" i="26"/>
  <c r="AE6" i="26" s="1"/>
  <c r="AE88" i="26" s="1"/>
  <c r="AE100" i="18"/>
  <c r="J100" i="18" s="1"/>
  <c r="AZ94" i="18"/>
  <c r="K28" i="28"/>
  <c r="AK137" i="29"/>
  <c r="J28" i="28" s="1"/>
  <c r="AE41" i="26"/>
  <c r="AE40" i="26"/>
  <c r="AE42" i="26"/>
  <c r="AE36" i="26"/>
  <c r="AE38" i="26"/>
  <c r="AE37" i="26"/>
  <c r="AE33" i="26"/>
  <c r="AE32" i="26"/>
  <c r="AE34" i="26"/>
  <c r="AE28" i="26"/>
  <c r="AE30" i="26"/>
  <c r="AE29" i="26"/>
  <c r="AE25" i="26"/>
  <c r="AE24" i="26"/>
  <c r="AE105" i="26" s="1"/>
  <c r="AE26" i="26"/>
  <c r="AE18" i="26"/>
  <c r="AE19" i="26"/>
  <c r="AE20" i="26"/>
  <c r="AE15" i="26"/>
  <c r="AE16" i="26"/>
  <c r="AE14" i="26"/>
  <c r="AE12" i="26"/>
  <c r="AE10" i="26"/>
  <c r="AE11" i="26"/>
  <c r="AE7" i="26"/>
  <c r="AE8" i="26"/>
  <c r="I26" i="30"/>
  <c r="J26" i="30"/>
  <c r="K26" i="30"/>
  <c r="C33" i="28"/>
  <c r="L125" i="18"/>
  <c r="L100" i="18"/>
  <c r="J125" i="18"/>
  <c r="I27" i="28"/>
  <c r="J27" i="28"/>
  <c r="AE108" i="26"/>
  <c r="AE91" i="26"/>
  <c r="K27" i="28"/>
  <c r="K100" i="18"/>
  <c r="K125" i="18"/>
  <c r="BX71" i="19"/>
  <c r="AD114" i="29" s="1"/>
  <c r="AG114" i="29" s="1"/>
  <c r="BW71" i="19"/>
  <c r="AC114" i="29" s="1"/>
  <c r="AF114" i="29" s="1"/>
  <c r="BW68" i="19"/>
  <c r="AC111" i="29" s="1"/>
  <c r="AF111" i="29" s="1"/>
  <c r="BX68" i="19"/>
  <c r="AD111" i="29" s="1"/>
  <c r="AG111" i="29" s="1"/>
  <c r="BV67" i="19"/>
  <c r="AB110" i="29" s="1"/>
  <c r="AE110" i="29" s="1"/>
  <c r="BV64" i="19"/>
  <c r="AB106" i="29" s="1"/>
  <c r="AE106" i="29" s="1"/>
  <c r="BV63" i="19"/>
  <c r="AB105" i="29" s="1"/>
  <c r="AE105" i="29" s="1"/>
  <c r="BV62" i="19"/>
  <c r="AB104" i="29" s="1"/>
  <c r="AE104" i="29" s="1"/>
  <c r="BV61" i="19"/>
  <c r="AB103" i="29" s="1"/>
  <c r="AE103" i="29" s="1"/>
  <c r="BV60" i="19"/>
  <c r="AB102" i="29" s="1"/>
  <c r="AE102" i="29" s="1"/>
  <c r="BV59" i="19"/>
  <c r="AB101" i="29" s="1"/>
  <c r="AE101" i="29" s="1"/>
  <c r="BX49" i="19"/>
  <c r="AD91" i="29" s="1"/>
  <c r="AG91" i="29" s="1"/>
  <c r="BX46" i="19"/>
  <c r="AD88" i="29" s="1"/>
  <c r="AG88" i="29" s="1"/>
  <c r="BW46" i="19"/>
  <c r="AC88" i="29" s="1"/>
  <c r="AF88" i="29" s="1"/>
  <c r="BX43" i="19"/>
  <c r="AD85" i="29" s="1"/>
  <c r="AG85" i="29" s="1"/>
  <c r="BX33" i="19"/>
  <c r="AD75" i="29" s="1"/>
  <c r="AG75" i="29" s="1"/>
  <c r="BW33" i="19"/>
  <c r="AC75" i="29" s="1"/>
  <c r="AF75" i="29" s="1"/>
  <c r="BX31" i="19"/>
  <c r="AD73" i="29" s="1"/>
  <c r="AG73" i="29" s="1"/>
  <c r="BW31" i="19"/>
  <c r="AC73" i="29" s="1"/>
  <c r="AF73" i="29" s="1"/>
  <c r="BV20" i="19"/>
  <c r="AB62" i="29" s="1"/>
  <c r="AE62" i="29" s="1"/>
  <c r="BW19" i="19"/>
  <c r="AC61" i="29" s="1"/>
  <c r="AF61" i="29" s="1"/>
  <c r="BW12" i="19"/>
  <c r="AC54" i="29" s="1"/>
  <c r="AF54" i="29" s="1"/>
  <c r="BW14" i="19"/>
  <c r="AC56" i="29" s="1"/>
  <c r="AF56" i="29" s="1"/>
  <c r="BW13" i="19"/>
  <c r="AC55" i="29" s="1"/>
  <c r="AF55" i="29" s="1"/>
  <c r="BW11" i="19"/>
  <c r="AC53" i="29" s="1"/>
  <c r="AF53" i="29" s="1"/>
  <c r="BW10" i="19"/>
  <c r="AC52" i="29" s="1"/>
  <c r="AF52" i="29" s="1"/>
  <c r="BW9" i="19"/>
  <c r="AC51" i="29" s="1"/>
  <c r="AF51" i="29" s="1"/>
  <c r="BW8" i="19"/>
  <c r="AC50" i="29" s="1"/>
  <c r="AF50" i="29" s="1"/>
  <c r="BW6" i="19"/>
  <c r="AC48" i="29" s="1"/>
  <c r="AF48" i="29" s="1"/>
  <c r="BW7" i="19"/>
  <c r="AC49" i="29" s="1"/>
  <c r="AF49" i="29" s="1"/>
  <c r="BW5" i="19"/>
  <c r="AC47" i="29" s="1"/>
  <c r="AF47" i="29" s="1"/>
  <c r="BV14" i="19"/>
  <c r="AB56" i="29" s="1"/>
  <c r="AE56" i="29" s="1"/>
  <c r="BV13" i="19"/>
  <c r="AB55" i="29" s="1"/>
  <c r="AE55" i="29" s="1"/>
  <c r="BV12" i="19"/>
  <c r="AB54" i="29" s="1"/>
  <c r="AE54" i="29" s="1"/>
  <c r="BV11" i="19"/>
  <c r="AB53" i="29" s="1"/>
  <c r="AE53" i="29" s="1"/>
  <c r="BV10" i="19"/>
  <c r="AB52" i="29" s="1"/>
  <c r="AE52" i="29" s="1"/>
  <c r="BV9" i="19"/>
  <c r="AB51" i="29" s="1"/>
  <c r="AE51" i="29" s="1"/>
  <c r="BV8" i="19"/>
  <c r="AB50" i="29" s="1"/>
  <c r="AE50" i="29" s="1"/>
  <c r="BV6" i="19"/>
  <c r="AB48" i="29" s="1"/>
  <c r="AE48" i="29" s="1"/>
  <c r="BV7" i="19"/>
  <c r="AB49" i="29" s="1"/>
  <c r="AE49" i="29" s="1"/>
  <c r="BV5" i="19"/>
  <c r="AB47" i="29" s="1"/>
  <c r="AE47" i="29" s="1"/>
  <c r="AQ56" i="17"/>
  <c r="AE106" i="26" l="1"/>
  <c r="AE104" i="26" s="1"/>
  <c r="AE89" i="26"/>
  <c r="AE87" i="26" s="1"/>
  <c r="I28" i="28"/>
  <c r="C37" i="28"/>
  <c r="D37" i="28"/>
  <c r="E37" i="28"/>
  <c r="C34" i="28"/>
  <c r="C36" i="28"/>
  <c r="E36" i="28"/>
  <c r="D36" i="28"/>
  <c r="D35" i="28"/>
  <c r="E35" i="28"/>
  <c r="C35" i="28"/>
  <c r="E34" i="28"/>
  <c r="D34" i="28"/>
  <c r="AL7" i="22"/>
  <c r="AL14" i="22"/>
  <c r="AL21" i="22"/>
  <c r="AL26" i="22"/>
  <c r="AL27" i="22"/>
  <c r="AL31" i="22"/>
  <c r="AL32" i="22"/>
  <c r="AL33" i="22"/>
  <c r="AL34" i="22"/>
  <c r="AL35" i="22"/>
  <c r="AL36" i="22"/>
  <c r="AL38" i="22"/>
  <c r="AL39" i="22"/>
  <c r="AL40" i="22"/>
  <c r="AL41" i="22"/>
  <c r="AL42" i="22"/>
  <c r="AL43" i="22"/>
  <c r="AL45" i="22"/>
  <c r="AL46" i="22"/>
  <c r="AL47" i="22"/>
  <c r="AL48" i="22"/>
  <c r="AL49" i="22"/>
  <c r="AC19" i="28"/>
  <c r="AC20" i="28"/>
  <c r="AC21" i="28"/>
  <c r="AC22" i="28"/>
  <c r="AC23" i="28"/>
  <c r="AC18" i="28"/>
  <c r="AU180" i="19"/>
  <c r="AU181" i="19"/>
  <c r="AU182" i="19"/>
  <c r="AU183" i="19"/>
  <c r="AU185" i="19"/>
  <c r="AU186" i="19"/>
  <c r="AU187" i="19"/>
  <c r="AU188" i="19"/>
  <c r="AU189" i="19"/>
  <c r="AU194" i="19"/>
  <c r="AU195" i="19"/>
  <c r="AU196" i="19"/>
  <c r="AU197" i="19"/>
  <c r="AU200" i="19"/>
  <c r="AU204" i="19"/>
  <c r="AU205" i="19"/>
  <c r="AU206" i="19"/>
  <c r="AU211" i="19"/>
  <c r="AU212" i="19"/>
  <c r="AU213" i="19"/>
  <c r="AU139" i="19"/>
  <c r="AU140" i="19"/>
  <c r="AU142" i="19"/>
  <c r="AU143" i="19"/>
  <c r="AU145" i="19"/>
  <c r="AU146" i="19"/>
  <c r="AU147" i="19"/>
  <c r="AU148" i="19"/>
  <c r="AU150" i="19"/>
  <c r="AU151" i="19"/>
  <c r="AU152" i="19"/>
  <c r="AU154" i="19"/>
  <c r="AU155" i="19"/>
  <c r="AU156" i="19"/>
  <c r="AU158" i="19"/>
  <c r="AU159" i="19"/>
  <c r="AU160" i="19"/>
  <c r="AU162" i="19"/>
  <c r="AU163" i="19"/>
  <c r="AU164" i="19"/>
  <c r="AU167" i="19"/>
  <c r="AU168" i="19"/>
  <c r="AU170" i="19"/>
  <c r="AU171" i="19"/>
  <c r="AU172" i="19"/>
  <c r="AU173" i="19"/>
  <c r="AU174" i="19"/>
  <c r="AB31" i="28"/>
  <c r="AB32" i="28"/>
  <c r="AB33" i="28"/>
  <c r="AJ38" i="21"/>
  <c r="AJ39" i="21"/>
  <c r="AJ37" i="21"/>
  <c r="AE110" i="26" l="1"/>
  <c r="AE93" i="26"/>
  <c r="D13" i="29"/>
  <c r="D14" i="29"/>
  <c r="D15" i="29"/>
  <c r="D16" i="29"/>
  <c r="D17" i="29"/>
  <c r="D18" i="29"/>
  <c r="D19" i="29"/>
  <c r="D20" i="29"/>
  <c r="D21" i="29"/>
  <c r="D22" i="29"/>
  <c r="D23" i="29"/>
  <c r="D24" i="29"/>
  <c r="D25" i="29"/>
  <c r="D26" i="29"/>
  <c r="D27" i="29"/>
  <c r="D28" i="29"/>
  <c r="D29" i="29"/>
  <c r="D30" i="29"/>
  <c r="D31" i="29"/>
  <c r="D32" i="29"/>
  <c r="D33" i="29"/>
  <c r="D34" i="29"/>
  <c r="D35" i="29"/>
  <c r="D10" i="29"/>
  <c r="AC24" i="29"/>
  <c r="AF24" i="29" s="1"/>
  <c r="AD24" i="29"/>
  <c r="AG24" i="29" s="1"/>
  <c r="AE24" i="29"/>
  <c r="AH24" i="29" s="1"/>
  <c r="AC25" i="29"/>
  <c r="AF25" i="29" s="1"/>
  <c r="AD25" i="29"/>
  <c r="AG25" i="29" s="1"/>
  <c r="AC26" i="29"/>
  <c r="AF26" i="29" s="1"/>
  <c r="AD26" i="29"/>
  <c r="AG26" i="29" s="1"/>
  <c r="AE26" i="29"/>
  <c r="AH26" i="29" s="1"/>
  <c r="AD27" i="29"/>
  <c r="AG27" i="29" s="1"/>
  <c r="AE27" i="29"/>
  <c r="AH27" i="29" s="1"/>
  <c r="AC29" i="29"/>
  <c r="AF29" i="29" s="1"/>
  <c r="AD30" i="29"/>
  <c r="AG30" i="29" s="1"/>
  <c r="AE30" i="29"/>
  <c r="AH30" i="29" s="1"/>
  <c r="AD32" i="29"/>
  <c r="AG32" i="29" s="1"/>
  <c r="AE32" i="29"/>
  <c r="AH32" i="29" s="1"/>
  <c r="AD33" i="29"/>
  <c r="AG33" i="29" s="1"/>
  <c r="AC34" i="29"/>
  <c r="AF34" i="29" s="1"/>
  <c r="AD34" i="29"/>
  <c r="AG34" i="29" s="1"/>
  <c r="AE34" i="29"/>
  <c r="AH34" i="29" s="1"/>
  <c r="AC35" i="29"/>
  <c r="AF35" i="29" s="1"/>
  <c r="AD35" i="29"/>
  <c r="AG35" i="29" s="1"/>
  <c r="AE35" i="29"/>
  <c r="AH35" i="29" s="1"/>
  <c r="AF10" i="29"/>
  <c r="AB10" i="28"/>
  <c r="AB11" i="28"/>
  <c r="AB12" i="28"/>
  <c r="AB13" i="28"/>
  <c r="AB14" i="28"/>
  <c r="AB15" i="28"/>
  <c r="AB16" i="28"/>
  <c r="AB17" i="28"/>
  <c r="AB18" i="28"/>
  <c r="AB19" i="28"/>
  <c r="AB20" i="28"/>
  <c r="AB21" i="28"/>
  <c r="AB22" i="28"/>
  <c r="AB23" i="28"/>
  <c r="AB24" i="28"/>
  <c r="AB25" i="28"/>
  <c r="AB26" i="28"/>
  <c r="AB27" i="28"/>
  <c r="AB28" i="28"/>
  <c r="AB29" i="28"/>
  <c r="AB30" i="28"/>
  <c r="AB9" i="28"/>
  <c r="AA11" i="28"/>
  <c r="C10" i="28"/>
  <c r="E32" i="28" l="1"/>
  <c r="C27" i="28"/>
  <c r="AA12" i="28"/>
  <c r="K10" i="28"/>
  <c r="I10" i="28"/>
  <c r="J10" i="28"/>
  <c r="I26" i="28" l="1"/>
  <c r="J26" i="28"/>
  <c r="K26" i="28"/>
  <c r="E10" i="28"/>
  <c r="E27" i="28" s="1"/>
  <c r="I231" i="1"/>
  <c r="I230" i="1"/>
  <c r="G231" i="1"/>
  <c r="G230" i="1"/>
  <c r="L230" i="1" l="1"/>
  <c r="L231" i="1"/>
  <c r="AB69" i="24"/>
  <c r="BI84" i="1" l="1"/>
  <c r="C52" i="17" l="1"/>
  <c r="AF150" i="1"/>
  <c r="AC65" i="24" l="1"/>
  <c r="AB65" i="24"/>
  <c r="AC66" i="24"/>
  <c r="AB66" i="24"/>
  <c r="AD66" i="24" l="1"/>
  <c r="B56" i="21"/>
  <c r="B57" i="21"/>
  <c r="B58" i="21"/>
  <c r="B103" i="21"/>
  <c r="B104" i="21"/>
  <c r="B105" i="21"/>
  <c r="B106" i="21"/>
  <c r="B59" i="21"/>
  <c r="AJ16" i="21"/>
  <c r="AJ17" i="21"/>
  <c r="AJ24" i="21"/>
  <c r="AJ25" i="21"/>
  <c r="AJ26" i="21"/>
  <c r="AJ27" i="21"/>
  <c r="AJ28" i="21"/>
  <c r="AJ29" i="21"/>
  <c r="AJ30" i="21"/>
  <c r="AJ31" i="21"/>
  <c r="AJ32" i="21"/>
  <c r="AJ33" i="21"/>
  <c r="AJ34" i="21"/>
  <c r="AJ35" i="21"/>
  <c r="AJ36" i="21"/>
  <c r="AJ19" i="21"/>
  <c r="AJ20" i="21"/>
  <c r="AJ21" i="21"/>
  <c r="AJ22" i="21"/>
  <c r="AJ23" i="21"/>
  <c r="AJ18" i="21"/>
  <c r="L42" i="21" l="1"/>
  <c r="D10" i="28" s="1"/>
  <c r="AI45" i="21"/>
  <c r="AJ45" i="21" s="1"/>
  <c r="D10" i="30" s="1"/>
  <c r="AC42" i="21"/>
  <c r="BB96" i="1"/>
  <c r="BF96" i="1" s="1"/>
  <c r="D27" i="28" l="1"/>
  <c r="AM37" i="2"/>
  <c r="AL31" i="4"/>
  <c r="AL29" i="4"/>
  <c r="AL30" i="4"/>
  <c r="AL28" i="4"/>
  <c r="AK29" i="4"/>
  <c r="AJ29" i="4"/>
  <c r="AK28" i="4"/>
  <c r="AJ28" i="4"/>
  <c r="AG31" i="4"/>
  <c r="L147" i="1" l="1"/>
  <c r="AJ31" i="4"/>
  <c r="AH31" i="4"/>
  <c r="AM31" i="4"/>
  <c r="AK31" i="4"/>
  <c r="AI31" i="4"/>
  <c r="BN107" i="1"/>
  <c r="BN87" i="1"/>
  <c r="BN86" i="1"/>
  <c r="BN85" i="1"/>
  <c r="BN84" i="1"/>
  <c r="BO87" i="1"/>
  <c r="BO86" i="1"/>
  <c r="BO85" i="1"/>
  <c r="BO84" i="1"/>
  <c r="AG29" i="4" l="1"/>
  <c r="AG30" i="4"/>
  <c r="AG28" i="4"/>
  <c r="D8" i="2" l="1"/>
  <c r="AH115" i="6" l="1"/>
  <c r="AH116" i="6" s="1"/>
  <c r="AH112" i="6"/>
  <c r="AH113" i="6" s="1"/>
  <c r="AG115" i="6"/>
  <c r="AG112" i="6"/>
  <c r="AH114" i="6" l="1"/>
  <c r="AH117" i="6"/>
  <c r="AU78" i="18"/>
  <c r="AV78" i="18"/>
  <c r="AU79" i="18"/>
  <c r="AV79" i="18"/>
  <c r="AU80" i="18"/>
  <c r="AV80" i="18"/>
  <c r="AU81" i="18"/>
  <c r="AV81" i="18"/>
  <c r="AV77" i="18"/>
  <c r="AU77" i="18"/>
  <c r="AP78" i="18"/>
  <c r="AP79" i="18"/>
  <c r="AP80" i="18"/>
  <c r="AP81" i="18"/>
  <c r="AP77" i="18"/>
  <c r="AO81" i="18"/>
  <c r="AO80" i="18"/>
  <c r="AO79" i="18"/>
  <c r="AO78" i="18"/>
  <c r="AO77" i="18"/>
  <c r="K64" i="21"/>
  <c r="K111" i="21"/>
  <c r="F23" i="21"/>
  <c r="AE150" i="1" l="1"/>
  <c r="G180" i="24" l="1"/>
  <c r="F55" i="15" l="1"/>
  <c r="AL93" i="22"/>
  <c r="AM93" i="22"/>
  <c r="AK93" i="22"/>
  <c r="AL90" i="22"/>
  <c r="AM90" i="22"/>
  <c r="AK90" i="22"/>
  <c r="I179" i="1"/>
  <c r="AP49" i="1"/>
  <c r="H51" i="1"/>
  <c r="F15" i="24" l="1"/>
  <c r="A153" i="24"/>
  <c r="G15" i="24" l="1"/>
  <c r="AB17" i="23"/>
  <c r="AZ41" i="17"/>
  <c r="AZ40" i="17"/>
  <c r="AZ39" i="17"/>
  <c r="AP41" i="17"/>
  <c r="AP39" i="17"/>
  <c r="AP40" i="17"/>
  <c r="F72" i="21"/>
  <c r="K78" i="21"/>
  <c r="K77" i="21"/>
  <c r="K76" i="21"/>
  <c r="K75" i="21"/>
  <c r="K74" i="21"/>
  <c r="K73" i="21"/>
  <c r="I78" i="21"/>
  <c r="AB81" i="22"/>
  <c r="AB82" i="22"/>
  <c r="AB83" i="22"/>
  <c r="AB84" i="22"/>
  <c r="AB85" i="22"/>
  <c r="AB86" i="22"/>
  <c r="AB87" i="22"/>
  <c r="AB89" i="22"/>
  <c r="AB90" i="22"/>
  <c r="AB92" i="22"/>
  <c r="AB93" i="22"/>
  <c r="AB94" i="22"/>
  <c r="AB95" i="22"/>
  <c r="AB96" i="22"/>
  <c r="AB97" i="22"/>
  <c r="AB99" i="22"/>
  <c r="AB100" i="22"/>
  <c r="AB101" i="22"/>
  <c r="AB79" i="22"/>
  <c r="B77" i="21" l="1"/>
  <c r="B76" i="21"/>
  <c r="B123" i="21"/>
  <c r="B122" i="21"/>
  <c r="AT71" i="18"/>
  <c r="AN71" i="18"/>
  <c r="AN35" i="17"/>
  <c r="AX35" i="17"/>
  <c r="AQ41" i="17" l="1"/>
  <c r="AQ40" i="17"/>
  <c r="BA40" i="17"/>
  <c r="BA41" i="17"/>
  <c r="AW76" i="18"/>
  <c r="AQ73" i="18"/>
  <c r="AW74" i="18"/>
  <c r="AW72" i="18"/>
  <c r="AW75" i="18"/>
  <c r="AW73" i="18"/>
  <c r="AQ74" i="18"/>
  <c r="AQ76" i="18"/>
  <c r="AQ72" i="18"/>
  <c r="AQ75" i="18"/>
  <c r="BA37" i="17"/>
  <c r="BA36" i="17"/>
  <c r="BA38" i="17"/>
  <c r="AW81" i="18"/>
  <c r="AW79" i="18"/>
  <c r="AW77" i="18"/>
  <c r="H107" i="21"/>
  <c r="AG55" i="21"/>
  <c r="AG56" i="21"/>
  <c r="AG57" i="21"/>
  <c r="AG58" i="21"/>
  <c r="B75" i="21"/>
  <c r="B74" i="21"/>
  <c r="B73" i="21"/>
  <c r="B72" i="21"/>
  <c r="K65" i="21"/>
  <c r="K63" i="21"/>
  <c r="I62" i="21"/>
  <c r="I61" i="21"/>
  <c r="AF59" i="21"/>
  <c r="AF58" i="21"/>
  <c r="AF57" i="21"/>
  <c r="AF56" i="21"/>
  <c r="B55" i="21"/>
  <c r="J72" i="21"/>
  <c r="K59" i="21"/>
  <c r="J59" i="21"/>
  <c r="K58" i="21"/>
  <c r="BB40" i="17" l="1"/>
  <c r="BD40" i="17" s="1"/>
  <c r="BB36" i="17"/>
  <c r="BB37" i="17"/>
  <c r="AF55" i="21"/>
  <c r="AQ79" i="18"/>
  <c r="AW78" i="18"/>
  <c r="AW80" i="18"/>
  <c r="AQ77" i="18"/>
  <c r="AQ81" i="18"/>
  <c r="J75" i="21"/>
  <c r="AQ78" i="18"/>
  <c r="AQ80" i="18"/>
  <c r="BB38" i="17"/>
  <c r="AQ38" i="17"/>
  <c r="AQ36" i="17"/>
  <c r="AQ37" i="17"/>
  <c r="J73" i="21"/>
  <c r="J77" i="21"/>
  <c r="J57" i="21"/>
  <c r="J55" i="21"/>
  <c r="J76" i="21"/>
  <c r="J74" i="21"/>
  <c r="J56" i="21"/>
  <c r="J58" i="21"/>
  <c r="D73" i="2"/>
  <c r="AR36" i="17" l="1"/>
  <c r="AR40" i="17"/>
  <c r="AT40" i="17" s="1"/>
  <c r="J78" i="21"/>
  <c r="AR38" i="17"/>
  <c r="AR37" i="17"/>
  <c r="J61" i="21"/>
  <c r="AI7" i="6"/>
  <c r="AI8" i="6"/>
  <c r="AI9" i="6"/>
  <c r="AI10" i="6"/>
  <c r="AI11" i="6"/>
  <c r="AI12" i="6"/>
  <c r="AI13" i="6"/>
  <c r="AI14" i="6"/>
  <c r="AI15" i="6"/>
  <c r="AI18" i="6"/>
  <c r="AI19" i="6"/>
  <c r="AI20" i="6"/>
  <c r="AI23" i="6"/>
  <c r="AI24" i="6"/>
  <c r="AI25" i="6"/>
  <c r="AI6" i="6"/>
  <c r="AB26" i="21"/>
  <c r="AB25" i="21"/>
  <c r="AC38" i="19"/>
  <c r="AG10" i="30" l="1"/>
  <c r="K112" i="21"/>
  <c r="K110" i="21"/>
  <c r="F33" i="24"/>
  <c r="I180" i="1"/>
  <c r="L179" i="1"/>
  <c r="AE46" i="1"/>
  <c r="BN109" i="1"/>
  <c r="BO109" i="1"/>
  <c r="BN108" i="1"/>
  <c r="BO108" i="1"/>
  <c r="BO107" i="1"/>
  <c r="E87" i="22"/>
  <c r="D87" i="22"/>
  <c r="AL90" i="1"/>
  <c r="M91" i="1" s="1"/>
  <c r="AL89" i="1"/>
  <c r="L91" i="1" s="1"/>
  <c r="BB91" i="1"/>
  <c r="BA91" i="1"/>
  <c r="AK90" i="1"/>
  <c r="AK89" i="1"/>
  <c r="F91" i="1"/>
  <c r="C49" i="19"/>
  <c r="C50" i="19"/>
  <c r="BF91" i="1" l="1"/>
  <c r="L180" i="1"/>
  <c r="AZ91" i="1"/>
  <c r="BE91" i="1"/>
  <c r="N91" i="1"/>
  <c r="BD91" i="1" l="1"/>
  <c r="AC32" i="23"/>
  <c r="B43" i="23"/>
  <c r="B46" i="23" s="1"/>
  <c r="BB79" i="1"/>
  <c r="BB103" i="1"/>
  <c r="H65" i="1"/>
  <c r="H46" i="1"/>
  <c r="AE28" i="30" s="1"/>
  <c r="F21" i="1"/>
  <c r="F20" i="1"/>
  <c r="FH28" i="19"/>
  <c r="N92" i="11" s="1"/>
  <c r="FK28" i="19"/>
  <c r="Q92" i="11" s="1"/>
  <c r="FN28" i="19"/>
  <c r="T92" i="11" s="1"/>
  <c r="FH29" i="19"/>
  <c r="N93" i="11" s="1"/>
  <c r="FK29" i="19"/>
  <c r="Q93" i="11" s="1"/>
  <c r="FN29" i="19"/>
  <c r="T93" i="11" s="1"/>
  <c r="FN48" i="19"/>
  <c r="T112" i="11" s="1"/>
  <c r="FN49" i="19"/>
  <c r="T113" i="11" s="1"/>
  <c r="FN50" i="19"/>
  <c r="T114" i="11" s="1"/>
  <c r="FN51" i="19"/>
  <c r="T115" i="11" s="1"/>
  <c r="FN52" i="19"/>
  <c r="T116" i="11" s="1"/>
  <c r="FN53" i="19"/>
  <c r="T117" i="11" s="1"/>
  <c r="FN54" i="19"/>
  <c r="T118" i="11" s="1"/>
  <c r="FK48" i="19"/>
  <c r="Q112" i="11" s="1"/>
  <c r="FK49" i="19"/>
  <c r="Q113" i="11" s="1"/>
  <c r="FK50" i="19"/>
  <c r="Q114" i="11" s="1"/>
  <c r="FK51" i="19"/>
  <c r="Q115" i="11" s="1"/>
  <c r="FK52" i="19"/>
  <c r="Q116" i="11" s="1"/>
  <c r="FK53" i="19"/>
  <c r="Q117" i="11" s="1"/>
  <c r="FK54" i="19"/>
  <c r="Q118" i="11" s="1"/>
  <c r="FH48" i="19"/>
  <c r="N112" i="11" s="1"/>
  <c r="FH49" i="19"/>
  <c r="N113" i="11" s="1"/>
  <c r="FH50" i="19"/>
  <c r="N114" i="11" s="1"/>
  <c r="FH51" i="19"/>
  <c r="N115" i="11" s="1"/>
  <c r="FH52" i="19"/>
  <c r="N116" i="11" s="1"/>
  <c r="D31" i="2"/>
  <c r="D30" i="2"/>
  <c r="K28" i="30" l="1"/>
  <c r="I28" i="30"/>
  <c r="J28" i="30"/>
  <c r="BF79" i="1"/>
  <c r="F17" i="24"/>
  <c r="Q53" i="11"/>
  <c r="S53" i="11" s="1"/>
  <c r="Q51" i="11"/>
  <c r="S51" i="11" s="1"/>
  <c r="Q49" i="11"/>
  <c r="S49" i="11" s="1"/>
  <c r="T29" i="11"/>
  <c r="V29" i="11" s="1"/>
  <c r="N29" i="11"/>
  <c r="P29" i="11" s="1"/>
  <c r="N52" i="11"/>
  <c r="P52" i="11" s="1"/>
  <c r="N50" i="11"/>
  <c r="P50" i="11" s="1"/>
  <c r="N48" i="11"/>
  <c r="P48" i="11" s="1"/>
  <c r="T54" i="11"/>
  <c r="V54" i="11" s="1"/>
  <c r="T52" i="11"/>
  <c r="V52" i="11" s="1"/>
  <c r="T50" i="11"/>
  <c r="V50" i="11" s="1"/>
  <c r="T48" i="11"/>
  <c r="V48" i="11" s="1"/>
  <c r="Q28" i="11"/>
  <c r="S28" i="11" s="1"/>
  <c r="N51" i="11"/>
  <c r="P51" i="11" s="1"/>
  <c r="N49" i="11"/>
  <c r="P49" i="11" s="1"/>
  <c r="Q54" i="11"/>
  <c r="S54" i="11" s="1"/>
  <c r="Q52" i="11"/>
  <c r="S52" i="11" s="1"/>
  <c r="Q50" i="11"/>
  <c r="S50" i="11" s="1"/>
  <c r="Q48" i="11"/>
  <c r="S48" i="11" s="1"/>
  <c r="T53" i="11"/>
  <c r="V53" i="11" s="1"/>
  <c r="T51" i="11"/>
  <c r="V51" i="11" s="1"/>
  <c r="T49" i="11"/>
  <c r="V49" i="11" s="1"/>
  <c r="Q29" i="11"/>
  <c r="S29" i="11" s="1"/>
  <c r="T28" i="11"/>
  <c r="V28" i="11" s="1"/>
  <c r="N28" i="11"/>
  <c r="P28" i="11" s="1"/>
  <c r="AZ103" i="1"/>
  <c r="BF103" i="1"/>
  <c r="H47" i="1"/>
  <c r="AZ79" i="1"/>
  <c r="D20" i="24"/>
  <c r="C68" i="24"/>
  <c r="AR93" i="22"/>
  <c r="AJ93" i="22" s="1"/>
  <c r="AR90" i="22"/>
  <c r="AJ90" i="22" s="1"/>
  <c r="AZ204" i="19"/>
  <c r="AZ198" i="19"/>
  <c r="G17" i="24" l="1"/>
  <c r="BD103" i="1"/>
  <c r="BD79" i="1"/>
  <c r="AC43" i="22"/>
  <c r="H43" i="22" s="1"/>
  <c r="AC42" i="22"/>
  <c r="H42" i="22" s="1"/>
  <c r="AC36" i="22"/>
  <c r="H36" i="22" s="1"/>
  <c r="AC35" i="22"/>
  <c r="H35" i="22" s="1"/>
  <c r="AC34" i="22"/>
  <c r="H34" i="22" s="1"/>
  <c r="AC33" i="22"/>
  <c r="H33" i="22" s="1"/>
  <c r="AC32" i="22"/>
  <c r="H32" i="22" s="1"/>
  <c r="AC31" i="22"/>
  <c r="H31" i="22" s="1"/>
  <c r="AC27" i="22"/>
  <c r="H27" i="22" s="1"/>
  <c r="AC26" i="22"/>
  <c r="H26" i="22" s="1"/>
  <c r="AC22" i="22"/>
  <c r="AC21" i="22"/>
  <c r="AC15" i="22"/>
  <c r="AC14" i="22"/>
  <c r="AC8" i="22"/>
  <c r="AC7" i="22"/>
  <c r="AD20" i="22"/>
  <c r="AD22" i="22"/>
  <c r="AD21" i="22"/>
  <c r="AD15" i="22"/>
  <c r="AD14" i="22"/>
  <c r="AD13" i="22"/>
  <c r="AD6" i="22"/>
  <c r="AD7" i="22"/>
  <c r="AD8" i="22"/>
  <c r="FH7" i="19"/>
  <c r="N71" i="11" s="1"/>
  <c r="N7" i="11" s="1"/>
  <c r="P7" i="11" s="1"/>
  <c r="AZ245" i="19"/>
  <c r="AD24" i="22" l="1"/>
  <c r="AD10" i="22"/>
  <c r="AD17" i="22"/>
  <c r="H17" i="22" s="1"/>
  <c r="K12" i="30"/>
  <c r="AN43" i="22"/>
  <c r="AN31" i="22"/>
  <c r="AN33" i="22"/>
  <c r="AN35" i="22"/>
  <c r="AN32" i="22"/>
  <c r="AN34" i="22"/>
  <c r="AN36" i="22"/>
  <c r="AN26" i="22"/>
  <c r="AN27" i="22"/>
  <c r="I30" i="30"/>
  <c r="I31" i="30" s="1"/>
  <c r="AN42" i="22"/>
  <c r="H14" i="22"/>
  <c r="H7" i="22"/>
  <c r="H15" i="22"/>
  <c r="H22" i="22"/>
  <c r="H21" i="22"/>
  <c r="H8" i="22"/>
  <c r="E92" i="22"/>
  <c r="E77" i="22"/>
  <c r="AN22" i="22" l="1"/>
  <c r="K22" i="22"/>
  <c r="J22" i="22"/>
  <c r="L22" i="22"/>
  <c r="AN15" i="22"/>
  <c r="L15" i="22"/>
  <c r="J15" i="22"/>
  <c r="K15" i="22"/>
  <c r="K8" i="22"/>
  <c r="J8" i="22"/>
  <c r="L8" i="22"/>
  <c r="K11" i="30"/>
  <c r="K10" i="30"/>
  <c r="H24" i="22"/>
  <c r="H20" i="22" s="1"/>
  <c r="AN21" i="22"/>
  <c r="AN14" i="22"/>
  <c r="AN17" i="22"/>
  <c r="H10" i="22"/>
  <c r="H6" i="22" s="1"/>
  <c r="AN8" i="22"/>
  <c r="AN7" i="22"/>
  <c r="H13" i="22"/>
  <c r="I109" i="21"/>
  <c r="B73" i="26"/>
  <c r="B72" i="26"/>
  <c r="AC70" i="24"/>
  <c r="AB70" i="24"/>
  <c r="AC67" i="24"/>
  <c r="AB67" i="24"/>
  <c r="H52" i="22" l="1"/>
  <c r="AN10" i="22"/>
  <c r="K13" i="30"/>
  <c r="K14" i="30" s="1"/>
  <c r="K15" i="30" s="1"/>
  <c r="AN24" i="22"/>
  <c r="AD70" i="24"/>
  <c r="AD67" i="24"/>
  <c r="F32" i="24"/>
  <c r="B77" i="26"/>
  <c r="B69" i="26"/>
  <c r="B65" i="26"/>
  <c r="B55" i="26"/>
  <c r="B51" i="26"/>
  <c r="B47" i="26"/>
  <c r="B46" i="26"/>
  <c r="AC64" i="24" l="1"/>
  <c r="AB64" i="24"/>
  <c r="AC63" i="24"/>
  <c r="AB63" i="24"/>
  <c r="AC77" i="24"/>
  <c r="AC76" i="24"/>
  <c r="AD63" i="24" l="1"/>
  <c r="AD64" i="24"/>
  <c r="AD65" i="24"/>
  <c r="AC69" i="24"/>
  <c r="AD69" i="24" l="1"/>
  <c r="B54" i="26" l="1"/>
  <c r="B76" i="26"/>
  <c r="BB64" i="1"/>
  <c r="BA50" i="1"/>
  <c r="BE50" i="1" l="1"/>
  <c r="BF64" i="1"/>
  <c r="I108" i="26"/>
  <c r="I106" i="26"/>
  <c r="I105" i="26"/>
  <c r="I91" i="26"/>
  <c r="I88" i="26"/>
  <c r="I89" i="26"/>
  <c r="AJ60" i="26"/>
  <c r="AJ59" i="26"/>
  <c r="AJ58" i="26"/>
  <c r="AJ57" i="26"/>
  <c r="AJ56" i="26"/>
  <c r="AJ55" i="26"/>
  <c r="AJ54" i="26"/>
  <c r="AC55" i="26" s="1"/>
  <c r="AJ53" i="26"/>
  <c r="AC76" i="26" s="1"/>
  <c r="AJ52" i="26"/>
  <c r="AC70" i="26" s="1"/>
  <c r="AJ51" i="26"/>
  <c r="AJ50" i="26"/>
  <c r="AC81" i="26" s="1"/>
  <c r="AJ49" i="26"/>
  <c r="AC56" i="26" s="1"/>
  <c r="AJ48" i="26"/>
  <c r="AJ47" i="26"/>
  <c r="AJ16" i="26"/>
  <c r="AJ15" i="26"/>
  <c r="AJ14" i="26"/>
  <c r="AC16" i="26" s="1"/>
  <c r="AJ13" i="26"/>
  <c r="AC36" i="26" s="1"/>
  <c r="AJ12" i="26"/>
  <c r="AJ11" i="26"/>
  <c r="AJ10" i="26"/>
  <c r="AC29" i="26" s="1"/>
  <c r="AJ9" i="26"/>
  <c r="AC40" i="26" s="1"/>
  <c r="AJ8" i="26"/>
  <c r="AC20" i="26" s="1"/>
  <c r="AJ7" i="26"/>
  <c r="AC34" i="26" s="1"/>
  <c r="AJ6" i="26"/>
  <c r="AC33" i="26" s="1"/>
  <c r="F72" i="1"/>
  <c r="AC6" i="26" l="1"/>
  <c r="AQ41" i="29"/>
  <c r="J81" i="26"/>
  <c r="J76" i="26"/>
  <c r="J70" i="26"/>
  <c r="J55" i="26"/>
  <c r="J56" i="26"/>
  <c r="J40" i="26"/>
  <c r="J36" i="26"/>
  <c r="J33" i="26"/>
  <c r="J34" i="26"/>
  <c r="J29" i="26"/>
  <c r="J20" i="26"/>
  <c r="J16" i="26"/>
  <c r="BD50" i="1"/>
  <c r="BD64" i="1"/>
  <c r="I93" i="26"/>
  <c r="I110" i="26"/>
  <c r="AC59" i="26"/>
  <c r="I104" i="26"/>
  <c r="I87" i="26"/>
  <c r="AC38" i="26"/>
  <c r="AC14" i="26"/>
  <c r="AC15" i="26"/>
  <c r="AC28" i="26"/>
  <c r="AC8" i="26"/>
  <c r="AC30" i="26"/>
  <c r="AC42" i="26"/>
  <c r="AC72" i="26"/>
  <c r="AC10" i="26"/>
  <c r="AC18" i="26"/>
  <c r="AC32" i="26"/>
  <c r="AC54" i="26"/>
  <c r="AC73" i="26"/>
  <c r="AC12" i="26"/>
  <c r="AC26" i="26"/>
  <c r="AC77" i="26"/>
  <c r="AC25" i="26"/>
  <c r="AC41" i="26"/>
  <c r="AC66" i="26"/>
  <c r="AC82" i="26"/>
  <c r="AC37" i="26"/>
  <c r="AC50" i="26"/>
  <c r="AC60" i="26"/>
  <c r="AC68" i="26"/>
  <c r="AC78" i="26"/>
  <c r="AC74" i="26"/>
  <c r="AC7" i="26"/>
  <c r="AC48" i="26"/>
  <c r="AC19" i="26"/>
  <c r="AC46" i="26"/>
  <c r="AC51" i="26"/>
  <c r="AC64" i="26"/>
  <c r="AC69" i="26"/>
  <c r="AC80" i="26"/>
  <c r="J6" i="26"/>
  <c r="AC11" i="26"/>
  <c r="AC24" i="26"/>
  <c r="AC47" i="26"/>
  <c r="AC52" i="26"/>
  <c r="AC58" i="26"/>
  <c r="AC65" i="26"/>
  <c r="AA31" i="15"/>
  <c r="K124" i="21"/>
  <c r="K123" i="21"/>
  <c r="K122" i="21"/>
  <c r="K121" i="21"/>
  <c r="K120" i="21"/>
  <c r="K119" i="21"/>
  <c r="K106" i="21"/>
  <c r="K105" i="21"/>
  <c r="BI15" i="19"/>
  <c r="BI1" i="19"/>
  <c r="J80" i="26" l="1"/>
  <c r="J82" i="26"/>
  <c r="J78" i="26"/>
  <c r="J77" i="26"/>
  <c r="J73" i="26"/>
  <c r="J74" i="26"/>
  <c r="J72" i="26"/>
  <c r="J69" i="26"/>
  <c r="J68" i="26"/>
  <c r="J65" i="26"/>
  <c r="J66" i="26"/>
  <c r="J64" i="26"/>
  <c r="J60" i="26"/>
  <c r="J58" i="26"/>
  <c r="J59" i="26"/>
  <c r="J54" i="26"/>
  <c r="J52" i="26"/>
  <c r="J51" i="26"/>
  <c r="J50" i="26"/>
  <c r="J47" i="26"/>
  <c r="J46" i="26"/>
  <c r="J48" i="26"/>
  <c r="J42" i="26"/>
  <c r="J41" i="26"/>
  <c r="J37" i="26"/>
  <c r="J38" i="26"/>
  <c r="J32" i="26"/>
  <c r="J30" i="26"/>
  <c r="J28" i="26"/>
  <c r="J24" i="26"/>
  <c r="H105" i="26" s="1"/>
  <c r="J25" i="26"/>
  <c r="J26" i="26"/>
  <c r="J19" i="26"/>
  <c r="J18" i="26"/>
  <c r="J15" i="26"/>
  <c r="J14" i="26"/>
  <c r="J12" i="26"/>
  <c r="J10" i="26"/>
  <c r="H88" i="26" s="1"/>
  <c r="J11" i="26"/>
  <c r="J7" i="26"/>
  <c r="J8" i="26"/>
  <c r="BJ109" i="1"/>
  <c r="BI109" i="1"/>
  <c r="BJ108" i="1"/>
  <c r="BI108" i="1"/>
  <c r="BJ107" i="1"/>
  <c r="BI107" i="1"/>
  <c r="BI85" i="1"/>
  <c r="BJ85" i="1"/>
  <c r="BI86" i="1"/>
  <c r="BJ86" i="1"/>
  <c r="BI87" i="1"/>
  <c r="BJ87" i="1"/>
  <c r="BJ84" i="1"/>
  <c r="H89" i="26" l="1"/>
  <c r="H108" i="26"/>
  <c r="H91" i="26"/>
  <c r="H93" i="26" s="1"/>
  <c r="H106" i="26"/>
  <c r="H104" i="26" s="1"/>
  <c r="H87" i="26"/>
  <c r="BH87" i="1"/>
  <c r="BH109" i="1"/>
  <c r="BH84" i="1"/>
  <c r="BH107" i="1"/>
  <c r="BH108" i="1"/>
  <c r="BH85" i="1"/>
  <c r="BH86" i="1"/>
  <c r="E108" i="26"/>
  <c r="E106" i="26"/>
  <c r="E105" i="26"/>
  <c r="E91" i="26"/>
  <c r="E89" i="26"/>
  <c r="E88" i="26"/>
  <c r="B68" i="26"/>
  <c r="B64" i="26"/>
  <c r="B50" i="26"/>
  <c r="AI16" i="26"/>
  <c r="AH16" i="26"/>
  <c r="AI15" i="26"/>
  <c r="AP41" i="29" s="1"/>
  <c r="AH15" i="26"/>
  <c r="AI14" i="26"/>
  <c r="AH14" i="26"/>
  <c r="AI13" i="26"/>
  <c r="AH13" i="26"/>
  <c r="AI12" i="26"/>
  <c r="AH12" i="26"/>
  <c r="AI11" i="26"/>
  <c r="AH11" i="26"/>
  <c r="AI10" i="26"/>
  <c r="AB11" i="26" s="1"/>
  <c r="AH10" i="26"/>
  <c r="AA11" i="26" s="1"/>
  <c r="AI9" i="26"/>
  <c r="AB15" i="26" s="1"/>
  <c r="AH9" i="26"/>
  <c r="AA15" i="26" s="1"/>
  <c r="AI8" i="26"/>
  <c r="AB8" i="26" s="1"/>
  <c r="AH8" i="26"/>
  <c r="AA8" i="26" s="1"/>
  <c r="AI7" i="26"/>
  <c r="AH7" i="26"/>
  <c r="AI6" i="26"/>
  <c r="AH6" i="26"/>
  <c r="AI60" i="26"/>
  <c r="AH60" i="26"/>
  <c r="AI59" i="26"/>
  <c r="AH59" i="26"/>
  <c r="AI58" i="26"/>
  <c r="AH58" i="26"/>
  <c r="AI57" i="26"/>
  <c r="AH57" i="26"/>
  <c r="AI56" i="26"/>
  <c r="AH56" i="26"/>
  <c r="AI55" i="26"/>
  <c r="AH55" i="26"/>
  <c r="AI54" i="26"/>
  <c r="AH54" i="26"/>
  <c r="AI53" i="26"/>
  <c r="AH53" i="26"/>
  <c r="AI52" i="26"/>
  <c r="AB48" i="26" s="1"/>
  <c r="AH52" i="26"/>
  <c r="AI51" i="26"/>
  <c r="AH51" i="26"/>
  <c r="AI50" i="26"/>
  <c r="AB47" i="26" s="1"/>
  <c r="AH50" i="26"/>
  <c r="AB50" i="26"/>
  <c r="AI49" i="26"/>
  <c r="AH49" i="26"/>
  <c r="AI48" i="26"/>
  <c r="AH48" i="26"/>
  <c r="AI47" i="26"/>
  <c r="AH47" i="26"/>
  <c r="AB46" i="26" l="1"/>
  <c r="I46" i="26" s="1"/>
  <c r="AA50" i="26"/>
  <c r="H50" i="26" s="1"/>
  <c r="H110" i="26"/>
  <c r="D32" i="28" s="1"/>
  <c r="I50" i="26"/>
  <c r="I47" i="26"/>
  <c r="I48" i="26"/>
  <c r="I15" i="26"/>
  <c r="H15" i="26"/>
  <c r="I11" i="26"/>
  <c r="H11" i="26"/>
  <c r="H8" i="26"/>
  <c r="I8" i="26"/>
  <c r="AA55" i="26"/>
  <c r="AB55" i="26"/>
  <c r="AB60" i="26"/>
  <c r="AA48" i="26"/>
  <c r="AA82" i="26"/>
  <c r="E87" i="26"/>
  <c r="AA6" i="26"/>
  <c r="AA54" i="26"/>
  <c r="AB54" i="26"/>
  <c r="E93" i="26"/>
  <c r="AB7" i="26"/>
  <c r="AB20" i="26"/>
  <c r="AA20" i="26"/>
  <c r="AB6" i="26"/>
  <c r="AA7" i="26"/>
  <c r="AA18" i="26"/>
  <c r="AA47" i="26"/>
  <c r="AA60" i="26"/>
  <c r="AB18" i="26"/>
  <c r="E110" i="26"/>
  <c r="E104" i="26"/>
  <c r="AA51" i="26"/>
  <c r="AA59" i="26"/>
  <c r="AB19" i="26"/>
  <c r="AA42" i="26"/>
  <c r="AB51" i="26"/>
  <c r="AB59" i="26"/>
  <c r="AB56" i="26"/>
  <c r="AA19" i="26"/>
  <c r="AA46" i="26"/>
  <c r="AA24" i="26"/>
  <c r="AA25" i="26"/>
  <c r="AA26" i="26"/>
  <c r="AA28" i="26"/>
  <c r="AA29" i="26"/>
  <c r="AA30" i="26"/>
  <c r="AA32" i="26"/>
  <c r="AA33" i="26"/>
  <c r="AA34" i="26"/>
  <c r="AA36" i="26"/>
  <c r="AA37" i="26"/>
  <c r="AA38" i="26"/>
  <c r="AA40" i="26"/>
  <c r="AA41" i="26"/>
  <c r="AB24" i="26"/>
  <c r="AB25" i="26"/>
  <c r="AB26" i="26"/>
  <c r="AB28" i="26"/>
  <c r="AB29" i="26"/>
  <c r="AB30" i="26"/>
  <c r="AB32" i="26"/>
  <c r="AB33" i="26"/>
  <c r="AB34" i="26"/>
  <c r="AB36" i="26"/>
  <c r="AB37" i="26"/>
  <c r="AB38" i="26"/>
  <c r="AB40" i="26"/>
  <c r="AB41" i="26"/>
  <c r="AB42" i="26"/>
  <c r="AA10" i="26"/>
  <c r="AA12" i="26"/>
  <c r="AA14" i="26"/>
  <c r="AA16" i="26"/>
  <c r="AB10" i="26"/>
  <c r="AB12" i="26"/>
  <c r="AB14" i="26"/>
  <c r="AB16" i="26"/>
  <c r="AA64" i="26"/>
  <c r="AA65" i="26"/>
  <c r="AA66" i="26"/>
  <c r="AA68" i="26"/>
  <c r="AA69" i="26"/>
  <c r="AA70" i="26"/>
  <c r="AA72" i="26"/>
  <c r="AA73" i="26"/>
  <c r="AA74" i="26"/>
  <c r="AB76" i="26"/>
  <c r="AB77" i="26"/>
  <c r="AB78" i="26"/>
  <c r="AA80" i="26"/>
  <c r="AA81" i="26"/>
  <c r="AA56" i="26"/>
  <c r="AB64" i="26"/>
  <c r="AB65" i="26"/>
  <c r="AB66" i="26"/>
  <c r="AB68" i="26"/>
  <c r="AB69" i="26"/>
  <c r="AB70" i="26"/>
  <c r="AB72" i="26"/>
  <c r="AB73" i="26"/>
  <c r="AB74" i="26"/>
  <c r="AA76" i="26"/>
  <c r="AA77" i="26"/>
  <c r="AA78" i="26"/>
  <c r="AB80" i="26"/>
  <c r="AB81" i="26"/>
  <c r="AB82" i="26"/>
  <c r="AA52" i="26"/>
  <c r="AA58" i="26"/>
  <c r="AB52" i="26"/>
  <c r="AB58" i="26"/>
  <c r="BA118" i="1"/>
  <c r="BB117" i="1"/>
  <c r="BA108" i="1"/>
  <c r="BB108" i="1"/>
  <c r="BA109" i="1"/>
  <c r="BB109" i="1"/>
  <c r="BB107" i="1"/>
  <c r="BA107" i="1"/>
  <c r="BA97" i="1"/>
  <c r="BA84" i="1"/>
  <c r="BB87" i="1"/>
  <c r="BA87" i="1"/>
  <c r="BB86" i="1"/>
  <c r="BA86" i="1"/>
  <c r="BB85" i="1"/>
  <c r="BA85" i="1"/>
  <c r="BB84" i="1"/>
  <c r="AZ50" i="1"/>
  <c r="E141" i="6"/>
  <c r="E142" i="6"/>
  <c r="E140" i="6"/>
  <c r="E139" i="6"/>
  <c r="E137" i="6"/>
  <c r="E138" i="6"/>
  <c r="E136" i="6"/>
  <c r="E135" i="6"/>
  <c r="E132" i="6"/>
  <c r="E133" i="6"/>
  <c r="E134" i="6"/>
  <c r="E131" i="6"/>
  <c r="E130" i="6"/>
  <c r="E129" i="6"/>
  <c r="E126" i="6"/>
  <c r="E127" i="6"/>
  <c r="E128" i="6"/>
  <c r="E125" i="6"/>
  <c r="E124" i="6"/>
  <c r="E123" i="6"/>
  <c r="AF98" i="6"/>
  <c r="AF97" i="6"/>
  <c r="AF94" i="6"/>
  <c r="AF85" i="6"/>
  <c r="AF84" i="6"/>
  <c r="AF83" i="6"/>
  <c r="AF82" i="6"/>
  <c r="AF81" i="6"/>
  <c r="AF80" i="6"/>
  <c r="AF79" i="6"/>
  <c r="AF78" i="6"/>
  <c r="AF91" i="6"/>
  <c r="AF90" i="6"/>
  <c r="AF87" i="6"/>
  <c r="AF68" i="6"/>
  <c r="AF75" i="6"/>
  <c r="AF74" i="6"/>
  <c r="AF73" i="6"/>
  <c r="AF72" i="6"/>
  <c r="AF71" i="6"/>
  <c r="AF70" i="6"/>
  <c r="AF69" i="6"/>
  <c r="E79" i="22"/>
  <c r="E97" i="22"/>
  <c r="D97" i="22"/>
  <c r="E96" i="22"/>
  <c r="D96" i="22"/>
  <c r="E95" i="22"/>
  <c r="D95" i="22"/>
  <c r="E93" i="22"/>
  <c r="D93" i="22"/>
  <c r="E83" i="22"/>
  <c r="E84" i="22"/>
  <c r="E85" i="22"/>
  <c r="E86" i="22"/>
  <c r="D84" i="22"/>
  <c r="D85" i="22"/>
  <c r="D86" i="22"/>
  <c r="D83" i="22"/>
  <c r="E81" i="22"/>
  <c r="D81" i="22"/>
  <c r="D79" i="22"/>
  <c r="L128" i="1" l="1"/>
  <c r="L127" i="1"/>
  <c r="C76" i="24" s="1"/>
  <c r="I81" i="26"/>
  <c r="H80" i="26"/>
  <c r="I82" i="26"/>
  <c r="I80" i="26"/>
  <c r="H81" i="26"/>
  <c r="H82" i="26"/>
  <c r="H78" i="26"/>
  <c r="H76" i="26"/>
  <c r="I77" i="26"/>
  <c r="H77" i="26"/>
  <c r="I78" i="26"/>
  <c r="I76" i="26"/>
  <c r="I73" i="26"/>
  <c r="H74" i="26"/>
  <c r="H72" i="26"/>
  <c r="I74" i="26"/>
  <c r="I72" i="26"/>
  <c r="H73" i="26"/>
  <c r="I68" i="26"/>
  <c r="I70" i="26"/>
  <c r="H69" i="26"/>
  <c r="I69" i="26"/>
  <c r="H70" i="26"/>
  <c r="H68" i="26"/>
  <c r="H66" i="26"/>
  <c r="I66" i="26"/>
  <c r="I64" i="26"/>
  <c r="H65" i="26"/>
  <c r="I65" i="26"/>
  <c r="H64" i="26"/>
  <c r="H60" i="26"/>
  <c r="I58" i="26"/>
  <c r="H58" i="26"/>
  <c r="I59" i="26"/>
  <c r="H59" i="26"/>
  <c r="I60" i="26"/>
  <c r="H56" i="26"/>
  <c r="I56" i="26"/>
  <c r="H54" i="26"/>
  <c r="I55" i="26"/>
  <c r="I54" i="26"/>
  <c r="H55" i="26"/>
  <c r="I52" i="26"/>
  <c r="H52" i="26"/>
  <c r="I51" i="26"/>
  <c r="H51" i="26"/>
  <c r="H47" i="26"/>
  <c r="H46" i="26"/>
  <c r="H48" i="26"/>
  <c r="I41" i="26"/>
  <c r="H41" i="26"/>
  <c r="I42" i="26"/>
  <c r="I40" i="26"/>
  <c r="H40" i="26"/>
  <c r="H42" i="26"/>
  <c r="I38" i="26"/>
  <c r="I36" i="26"/>
  <c r="H38" i="26"/>
  <c r="H36" i="26"/>
  <c r="I37" i="26"/>
  <c r="H37" i="26"/>
  <c r="I33" i="26"/>
  <c r="H33" i="26"/>
  <c r="I34" i="26"/>
  <c r="I32" i="26"/>
  <c r="H34" i="26"/>
  <c r="H32" i="26"/>
  <c r="I30" i="26"/>
  <c r="I28" i="26"/>
  <c r="H30" i="26"/>
  <c r="H28" i="26"/>
  <c r="I29" i="26"/>
  <c r="H29" i="26"/>
  <c r="I26" i="26"/>
  <c r="I24" i="26"/>
  <c r="G105" i="26" s="1"/>
  <c r="H26" i="26"/>
  <c r="H24" i="26"/>
  <c r="F105" i="26" s="1"/>
  <c r="I25" i="26"/>
  <c r="H25" i="26"/>
  <c r="H19" i="26"/>
  <c r="I18" i="26"/>
  <c r="H20" i="26"/>
  <c r="I19" i="26"/>
  <c r="H18" i="26"/>
  <c r="I20" i="26"/>
  <c r="I14" i="26"/>
  <c r="H14" i="26"/>
  <c r="I16" i="26"/>
  <c r="H16" i="26"/>
  <c r="I10" i="26"/>
  <c r="H10" i="26"/>
  <c r="I12" i="26"/>
  <c r="H12" i="26"/>
  <c r="H7" i="26"/>
  <c r="I7" i="26"/>
  <c r="H6" i="26"/>
  <c r="F88" i="26" s="1"/>
  <c r="I6" i="26"/>
  <c r="BF117" i="1"/>
  <c r="BD117" i="1" s="1"/>
  <c r="BE107" i="1"/>
  <c r="BF109" i="1"/>
  <c r="BF108" i="1"/>
  <c r="BF107" i="1"/>
  <c r="BE109" i="1"/>
  <c r="BE108" i="1"/>
  <c r="BE97" i="1"/>
  <c r="BE85" i="1"/>
  <c r="BE86" i="1"/>
  <c r="BE87" i="1"/>
  <c r="BE84" i="1"/>
  <c r="BF84" i="1"/>
  <c r="BF85" i="1"/>
  <c r="BF86" i="1"/>
  <c r="BF87" i="1"/>
  <c r="BE118" i="1"/>
  <c r="AZ117" i="1"/>
  <c r="BD109" i="1"/>
  <c r="AZ109" i="1"/>
  <c r="AZ86" i="1"/>
  <c r="AZ118" i="1"/>
  <c r="AZ85" i="1"/>
  <c r="AZ107" i="1"/>
  <c r="F89" i="26"/>
  <c r="AZ97" i="1"/>
  <c r="AZ96" i="1"/>
  <c r="AZ108" i="1"/>
  <c r="AZ87" i="1"/>
  <c r="AZ84" i="1"/>
  <c r="F118" i="1"/>
  <c r="F117" i="1"/>
  <c r="F109" i="1"/>
  <c r="F108" i="1"/>
  <c r="F107" i="1"/>
  <c r="F103" i="1"/>
  <c r="F97" i="1"/>
  <c r="F96" i="1"/>
  <c r="F87" i="1"/>
  <c r="F86" i="1"/>
  <c r="F85" i="1"/>
  <c r="F84" i="1"/>
  <c r="F79" i="1"/>
  <c r="C69" i="2"/>
  <c r="D69" i="2"/>
  <c r="AO75" i="22"/>
  <c r="AO76" i="22"/>
  <c r="AO77" i="22"/>
  <c r="AO78" i="22"/>
  <c r="AN76" i="22"/>
  <c r="AN77" i="22"/>
  <c r="AN78" i="22"/>
  <c r="AN75" i="22"/>
  <c r="AO83" i="22"/>
  <c r="AO84" i="22"/>
  <c r="AO85" i="22"/>
  <c r="AO86" i="22"/>
  <c r="AN84" i="22"/>
  <c r="AN85" i="22"/>
  <c r="AN86" i="22"/>
  <c r="AN83" i="22"/>
  <c r="BB74" i="1"/>
  <c r="AZ64" i="1"/>
  <c r="BB57" i="1"/>
  <c r="F106" i="26" l="1"/>
  <c r="M128" i="1"/>
  <c r="M127" i="1"/>
  <c r="C77" i="24" s="1"/>
  <c r="E76" i="24"/>
  <c r="G88" i="26"/>
  <c r="G87" i="26" s="1"/>
  <c r="G89" i="26"/>
  <c r="G108" i="26"/>
  <c r="F108" i="26"/>
  <c r="F91" i="26"/>
  <c r="F93" i="26" s="1"/>
  <c r="G91" i="26"/>
  <c r="G93" i="26" s="1"/>
  <c r="G106" i="26"/>
  <c r="G104" i="26" s="1"/>
  <c r="F104" i="26"/>
  <c r="F87" i="26"/>
  <c r="BD107" i="1"/>
  <c r="BD87" i="1"/>
  <c r="BD85" i="1"/>
  <c r="BD84" i="1"/>
  <c r="BD86" i="1"/>
  <c r="C180" i="24"/>
  <c r="BD108" i="1"/>
  <c r="BD118" i="1"/>
  <c r="AB76" i="24"/>
  <c r="C181" i="24"/>
  <c r="AB77" i="24"/>
  <c r="C86" i="24"/>
  <c r="BF74" i="1"/>
  <c r="BF57" i="1"/>
  <c r="E77" i="24" s="1"/>
  <c r="BD97" i="1"/>
  <c r="BD96" i="1"/>
  <c r="AZ57" i="1"/>
  <c r="AZ74" i="1"/>
  <c r="F110" i="26" l="1"/>
  <c r="G110" i="26"/>
  <c r="C32" i="28" s="1"/>
  <c r="AD76" i="24"/>
  <c r="BD74" i="1"/>
  <c r="N127" i="1"/>
  <c r="C75" i="24" s="1"/>
  <c r="BD57" i="1"/>
  <c r="N128" i="1"/>
  <c r="G181" i="24"/>
  <c r="D86" i="24"/>
  <c r="G178" i="24"/>
  <c r="FH54" i="19"/>
  <c r="FN61" i="19"/>
  <c r="FN59" i="19"/>
  <c r="T123" i="11" s="1"/>
  <c r="FN58" i="19"/>
  <c r="T122" i="11" s="1"/>
  <c r="FN57" i="19"/>
  <c r="T121" i="11" s="1"/>
  <c r="FN56" i="19"/>
  <c r="T120" i="11" s="1"/>
  <c r="FN47" i="19"/>
  <c r="FN46" i="19"/>
  <c r="FN27" i="19"/>
  <c r="T91" i="11" s="1"/>
  <c r="FN26" i="19"/>
  <c r="FN25" i="19"/>
  <c r="FN24" i="19"/>
  <c r="T88" i="11" s="1"/>
  <c r="FN21" i="19"/>
  <c r="T85" i="11" s="1"/>
  <c r="T21" i="11" s="1"/>
  <c r="V21" i="11" s="1"/>
  <c r="FN20" i="19"/>
  <c r="T84" i="11" s="1"/>
  <c r="T20" i="11" s="1"/>
  <c r="V20" i="11" s="1"/>
  <c r="FN19" i="19"/>
  <c r="T83" i="11" s="1"/>
  <c r="T19" i="11" s="1"/>
  <c r="V19" i="11" s="1"/>
  <c r="FN18" i="19"/>
  <c r="T82" i="11" s="1"/>
  <c r="T18" i="11" s="1"/>
  <c r="V18" i="11" s="1"/>
  <c r="FN17" i="19"/>
  <c r="T81" i="11" s="1"/>
  <c r="T17" i="11" s="1"/>
  <c r="V17" i="11" s="1"/>
  <c r="FN16" i="19"/>
  <c r="T80" i="11" s="1"/>
  <c r="T16" i="11" s="1"/>
  <c r="V16" i="11" s="1"/>
  <c r="FN15" i="19"/>
  <c r="T79" i="11" s="1"/>
  <c r="T15" i="11" s="1"/>
  <c r="V15" i="11" s="1"/>
  <c r="FN14" i="19"/>
  <c r="T78" i="11" s="1"/>
  <c r="T14" i="11" s="1"/>
  <c r="V14" i="11" s="1"/>
  <c r="FN13" i="19"/>
  <c r="T77" i="11" s="1"/>
  <c r="T13" i="11" s="1"/>
  <c r="V13" i="11" s="1"/>
  <c r="FN12" i="19"/>
  <c r="T76" i="11" s="1"/>
  <c r="T12" i="11" s="1"/>
  <c r="V12" i="11" s="1"/>
  <c r="FN11" i="19"/>
  <c r="T75" i="11" s="1"/>
  <c r="T11" i="11" s="1"/>
  <c r="V11" i="11" s="1"/>
  <c r="FN10" i="19"/>
  <c r="T74" i="11" s="1"/>
  <c r="T10" i="11" s="1"/>
  <c r="V10" i="11" s="1"/>
  <c r="FN9" i="19"/>
  <c r="T73" i="11" s="1"/>
  <c r="T9" i="11" s="1"/>
  <c r="V9" i="11" s="1"/>
  <c r="FN7" i="19"/>
  <c r="T71" i="11" s="1"/>
  <c r="T7" i="11" s="1"/>
  <c r="V7" i="11" s="1"/>
  <c r="FN6" i="19"/>
  <c r="T70" i="11" s="1"/>
  <c r="FK61" i="19"/>
  <c r="FK59" i="19"/>
  <c r="Q123" i="11" s="1"/>
  <c r="FK58" i="19"/>
  <c r="Q122" i="11" s="1"/>
  <c r="FK57" i="19"/>
  <c r="Q121" i="11" s="1"/>
  <c r="FK56" i="19"/>
  <c r="Q120" i="11" s="1"/>
  <c r="FK47" i="19"/>
  <c r="Q111" i="11" s="1"/>
  <c r="FK46" i="19"/>
  <c r="Q110" i="11" s="1"/>
  <c r="FK27" i="19"/>
  <c r="FK26" i="19"/>
  <c r="FK25" i="19"/>
  <c r="Q89" i="11" s="1"/>
  <c r="FK24" i="19"/>
  <c r="FK21" i="19"/>
  <c r="Q85" i="11" s="1"/>
  <c r="Q21" i="11" s="1"/>
  <c r="S21" i="11" s="1"/>
  <c r="FK20" i="19"/>
  <c r="Q84" i="11" s="1"/>
  <c r="Q20" i="11" s="1"/>
  <c r="S20" i="11" s="1"/>
  <c r="FK19" i="19"/>
  <c r="Q83" i="11" s="1"/>
  <c r="Q19" i="11" s="1"/>
  <c r="S19" i="11" s="1"/>
  <c r="FK18" i="19"/>
  <c r="Q82" i="11" s="1"/>
  <c r="Q18" i="11" s="1"/>
  <c r="S18" i="11" s="1"/>
  <c r="FK17" i="19"/>
  <c r="Q81" i="11" s="1"/>
  <c r="Q17" i="11" s="1"/>
  <c r="S17" i="11" s="1"/>
  <c r="FK16" i="19"/>
  <c r="Q80" i="11" s="1"/>
  <c r="Q16" i="11" s="1"/>
  <c r="S16" i="11" s="1"/>
  <c r="FK15" i="19"/>
  <c r="Q79" i="11" s="1"/>
  <c r="Q15" i="11" s="1"/>
  <c r="S15" i="11" s="1"/>
  <c r="FK14" i="19"/>
  <c r="Q78" i="11" s="1"/>
  <c r="Q14" i="11" s="1"/>
  <c r="S14" i="11" s="1"/>
  <c r="FK13" i="19"/>
  <c r="Q77" i="11" s="1"/>
  <c r="Q13" i="11" s="1"/>
  <c r="S13" i="11" s="1"/>
  <c r="FK12" i="19"/>
  <c r="Q76" i="11" s="1"/>
  <c r="Q12" i="11" s="1"/>
  <c r="S12" i="11" s="1"/>
  <c r="FK11" i="19"/>
  <c r="Q75" i="11" s="1"/>
  <c r="Q11" i="11" s="1"/>
  <c r="S11" i="11" s="1"/>
  <c r="FK10" i="19"/>
  <c r="Q74" i="11" s="1"/>
  <c r="Q10" i="11" s="1"/>
  <c r="S10" i="11" s="1"/>
  <c r="FK9" i="19"/>
  <c r="Q73" i="11" s="1"/>
  <c r="Q9" i="11" s="1"/>
  <c r="S9" i="11" s="1"/>
  <c r="FK7" i="19"/>
  <c r="Q71" i="11" s="1"/>
  <c r="Q7" i="11" s="1"/>
  <c r="S7" i="11" s="1"/>
  <c r="FK6" i="19"/>
  <c r="Q70" i="11" s="1"/>
  <c r="FH56" i="19"/>
  <c r="N120" i="11" s="1"/>
  <c r="FH53" i="19"/>
  <c r="FH47" i="19"/>
  <c r="FH46" i="19"/>
  <c r="N110" i="11" s="1"/>
  <c r="FH27" i="19"/>
  <c r="FH26" i="19"/>
  <c r="FH25" i="19"/>
  <c r="N89" i="11" s="1"/>
  <c r="FH24" i="19"/>
  <c r="N88" i="11" s="1"/>
  <c r="FH21" i="19"/>
  <c r="N85" i="11" s="1"/>
  <c r="N21" i="11" s="1"/>
  <c r="P21" i="11" s="1"/>
  <c r="FH20" i="19"/>
  <c r="N84" i="11" s="1"/>
  <c r="N20" i="11" s="1"/>
  <c r="P20" i="11" s="1"/>
  <c r="FH19" i="19"/>
  <c r="N83" i="11" s="1"/>
  <c r="N19" i="11" s="1"/>
  <c r="P19" i="11" s="1"/>
  <c r="FH18" i="19"/>
  <c r="N82" i="11" s="1"/>
  <c r="N18" i="11" s="1"/>
  <c r="P18" i="11" s="1"/>
  <c r="FH17" i="19"/>
  <c r="N81" i="11" s="1"/>
  <c r="N17" i="11" s="1"/>
  <c r="P17" i="11" s="1"/>
  <c r="FH16" i="19"/>
  <c r="N80" i="11" s="1"/>
  <c r="N16" i="11" s="1"/>
  <c r="P16" i="11" s="1"/>
  <c r="FH15" i="19"/>
  <c r="N79" i="11" s="1"/>
  <c r="N15" i="11" s="1"/>
  <c r="P15" i="11" s="1"/>
  <c r="FH14" i="19"/>
  <c r="N78" i="11" s="1"/>
  <c r="N14" i="11" s="1"/>
  <c r="P14" i="11" s="1"/>
  <c r="FH13" i="19"/>
  <c r="N77" i="11" s="1"/>
  <c r="N13" i="11" s="1"/>
  <c r="P13" i="11" s="1"/>
  <c r="FH12" i="19"/>
  <c r="N76" i="11" s="1"/>
  <c r="N12" i="11" s="1"/>
  <c r="P12" i="11" s="1"/>
  <c r="FH6" i="19"/>
  <c r="N70" i="11" s="1"/>
  <c r="T110" i="11"/>
  <c r="Q88" i="11"/>
  <c r="I53" i="19"/>
  <c r="E75" i="24" l="1"/>
  <c r="E78" i="24"/>
  <c r="T46" i="11"/>
  <c r="V46" i="11" s="1"/>
  <c r="N56" i="11"/>
  <c r="P56" i="11" s="1"/>
  <c r="Q56" i="11"/>
  <c r="S56" i="11" s="1"/>
  <c r="T24" i="11"/>
  <c r="V24" i="11" s="1"/>
  <c r="N6" i="11"/>
  <c r="P6" i="11" s="1"/>
  <c r="T6" i="11"/>
  <c r="V6" i="11" s="1"/>
  <c r="Q6" i="11"/>
  <c r="S6" i="11" s="1"/>
  <c r="Q24" i="11"/>
  <c r="S24" i="11" s="1"/>
  <c r="N24" i="11"/>
  <c r="P24" i="11" s="1"/>
  <c r="N46" i="11"/>
  <c r="P46" i="11" s="1"/>
  <c r="Q46" i="11"/>
  <c r="S46" i="11" s="1"/>
  <c r="T56" i="11"/>
  <c r="V56" i="11" s="1"/>
  <c r="N25" i="11"/>
  <c r="P25" i="11" s="1"/>
  <c r="Q25" i="11"/>
  <c r="S25" i="11" s="1"/>
  <c r="Q47" i="11"/>
  <c r="S47" i="11" s="1"/>
  <c r="Q58" i="11"/>
  <c r="S58" i="11" s="1"/>
  <c r="T57" i="11"/>
  <c r="V57" i="11" s="1"/>
  <c r="T59" i="11"/>
  <c r="V59" i="11" s="1"/>
  <c r="Q57" i="11"/>
  <c r="S57" i="11" s="1"/>
  <c r="Q59" i="11"/>
  <c r="S59" i="11" s="1"/>
  <c r="T27" i="11"/>
  <c r="V27" i="11" s="1"/>
  <c r="T58" i="11"/>
  <c r="V58" i="11" s="1"/>
  <c r="T125" i="11"/>
  <c r="Q125" i="11"/>
  <c r="E80" i="24"/>
  <c r="T89" i="11"/>
  <c r="T90" i="11"/>
  <c r="Q90" i="11"/>
  <c r="Q91" i="11"/>
  <c r="N90" i="11"/>
  <c r="N91" i="11"/>
  <c r="N111" i="11"/>
  <c r="T111" i="11"/>
  <c r="N117" i="11"/>
  <c r="N118" i="11"/>
  <c r="C80" i="24"/>
  <c r="N53" i="11" l="1"/>
  <c r="P53" i="11" s="1"/>
  <c r="N47" i="11"/>
  <c r="P47" i="11" s="1"/>
  <c r="N26" i="11"/>
  <c r="P26" i="11" s="1"/>
  <c r="Q26" i="11"/>
  <c r="S26" i="11" s="1"/>
  <c r="T25" i="11"/>
  <c r="V25" i="11" s="1"/>
  <c r="Q61" i="11"/>
  <c r="S61" i="11" s="1"/>
  <c r="T61" i="11"/>
  <c r="V61" i="11" s="1"/>
  <c r="N54" i="11"/>
  <c r="P54" i="11" s="1"/>
  <c r="T47" i="11"/>
  <c r="V47" i="11" s="1"/>
  <c r="N27" i="11"/>
  <c r="P27" i="11" s="1"/>
  <c r="Q27" i="11"/>
  <c r="S27" i="11" s="1"/>
  <c r="T26" i="11"/>
  <c r="V26" i="11" s="1"/>
  <c r="C6" i="24"/>
  <c r="D36" i="1"/>
  <c r="D35" i="1" l="1"/>
  <c r="D22" i="24"/>
  <c r="E79" i="24"/>
  <c r="C79" i="24"/>
  <c r="E11" i="24"/>
  <c r="C16" i="24"/>
  <c r="C11" i="24"/>
  <c r="E68" i="24" l="1"/>
  <c r="AA93" i="1"/>
  <c r="AE31" i="18" l="1"/>
  <c r="AE30" i="18"/>
  <c r="BY33" i="18"/>
  <c r="BX33" i="18"/>
  <c r="BW33" i="18"/>
  <c r="BV33" i="18"/>
  <c r="BU33" i="18"/>
  <c r="BT33" i="18"/>
  <c r="BS33" i="18"/>
  <c r="BR33" i="18"/>
  <c r="BQ33" i="18"/>
  <c r="BP33" i="18"/>
  <c r="BO33" i="18"/>
  <c r="BN33" i="18"/>
  <c r="BM33" i="18"/>
  <c r="BL33" i="18"/>
  <c r="BK33" i="18"/>
  <c r="BJ33" i="18"/>
  <c r="BI33" i="18"/>
  <c r="BH33" i="18"/>
  <c r="BG33" i="18"/>
  <c r="BF33" i="18"/>
  <c r="AC75" i="24" l="1"/>
  <c r="AC74" i="24"/>
  <c r="AC71" i="24"/>
  <c r="AD71" i="24" s="1"/>
  <c r="AC62" i="24"/>
  <c r="AB75" i="24"/>
  <c r="AB74" i="24"/>
  <c r="AB62" i="24"/>
  <c r="AD62" i="24" l="1"/>
  <c r="AD74" i="24"/>
  <c r="AD77" i="24"/>
  <c r="AD75" i="24"/>
  <c r="E67" i="24"/>
  <c r="C67" i="24"/>
  <c r="G70" i="24" s="1"/>
  <c r="C17" i="24"/>
  <c r="F6" i="24"/>
  <c r="E6" i="24"/>
  <c r="D6" i="24"/>
  <c r="B6" i="24"/>
  <c r="AG40" i="23"/>
  <c r="AB35" i="23"/>
  <c r="AC35" i="23"/>
  <c r="AD35" i="23"/>
  <c r="AE35" i="23"/>
  <c r="AF35" i="23"/>
  <c r="AG35" i="23"/>
  <c r="AB36" i="23"/>
  <c r="AC36" i="23"/>
  <c r="AD36" i="23"/>
  <c r="AE36" i="23"/>
  <c r="AF36" i="23"/>
  <c r="AG36" i="23"/>
  <c r="AB37" i="23"/>
  <c r="AC37" i="23"/>
  <c r="AD37" i="23"/>
  <c r="AE37" i="23"/>
  <c r="AF37" i="23"/>
  <c r="AG37" i="23"/>
  <c r="AF40" i="23"/>
  <c r="AE40" i="23"/>
  <c r="AD40" i="23"/>
  <c r="AC40" i="23"/>
  <c r="AB40" i="23"/>
  <c r="AG39" i="23"/>
  <c r="AF39" i="23"/>
  <c r="AE39" i="23"/>
  <c r="AD39" i="23"/>
  <c r="AC39" i="23"/>
  <c r="AB39" i="23"/>
  <c r="AG38" i="23"/>
  <c r="AF38" i="23"/>
  <c r="AE38" i="23"/>
  <c r="AD38" i="23"/>
  <c r="AC38" i="23"/>
  <c r="AB38" i="23"/>
  <c r="AG34" i="23"/>
  <c r="AF34" i="23"/>
  <c r="AE34" i="23"/>
  <c r="AD34" i="23"/>
  <c r="AC34" i="23"/>
  <c r="AB34" i="23"/>
  <c r="AG33" i="23"/>
  <c r="AF33" i="23"/>
  <c r="AE33" i="23"/>
  <c r="AD33" i="23"/>
  <c r="AC33" i="23"/>
  <c r="AB33" i="23"/>
  <c r="AG32" i="23"/>
  <c r="AF32" i="23"/>
  <c r="AE32" i="23"/>
  <c r="AD32" i="23"/>
  <c r="AB32" i="23"/>
  <c r="AE22" i="23"/>
  <c r="AG22" i="23"/>
  <c r="AF22" i="23"/>
  <c r="AD22" i="23"/>
  <c r="AC22" i="23"/>
  <c r="AB22" i="23"/>
  <c r="AG21" i="23"/>
  <c r="AF21" i="23"/>
  <c r="AE21" i="23"/>
  <c r="AD21" i="23"/>
  <c r="AC21" i="23"/>
  <c r="AB21" i="23"/>
  <c r="AG20" i="23"/>
  <c r="AF20" i="23"/>
  <c r="AE20" i="23"/>
  <c r="AD20" i="23"/>
  <c r="AC20" i="23"/>
  <c r="AB20" i="23"/>
  <c r="AG19" i="23"/>
  <c r="AF19" i="23"/>
  <c r="AE19" i="23"/>
  <c r="AD19" i="23"/>
  <c r="AC19" i="23"/>
  <c r="AB19" i="23"/>
  <c r="AG18" i="23"/>
  <c r="AF18" i="23"/>
  <c r="AE18" i="23"/>
  <c r="AD18" i="23"/>
  <c r="AC18" i="23"/>
  <c r="AB18" i="23"/>
  <c r="AG17" i="23"/>
  <c r="AF17" i="23"/>
  <c r="AE17" i="23"/>
  <c r="AD17" i="23"/>
  <c r="AC17" i="23"/>
  <c r="AG13" i="23"/>
  <c r="AC8" i="23"/>
  <c r="AD8" i="23"/>
  <c r="AE8" i="23"/>
  <c r="AF8" i="23"/>
  <c r="AG8" i="23"/>
  <c r="AC9" i="23"/>
  <c r="AD9" i="23"/>
  <c r="AE9" i="23"/>
  <c r="AF9" i="23"/>
  <c r="AG9" i="23"/>
  <c r="AC10" i="23"/>
  <c r="AD10" i="23"/>
  <c r="AE10" i="23"/>
  <c r="AF10" i="23"/>
  <c r="AG10" i="23"/>
  <c r="AC11" i="23"/>
  <c r="AD11" i="23"/>
  <c r="AE11" i="23"/>
  <c r="AF11" i="23"/>
  <c r="AG11" i="23"/>
  <c r="AC12" i="23"/>
  <c r="AD12" i="23"/>
  <c r="AE12" i="23"/>
  <c r="AF12" i="23"/>
  <c r="AG12" i="23"/>
  <c r="AC13" i="23"/>
  <c r="AD13" i="23"/>
  <c r="AE13" i="23"/>
  <c r="AF13" i="23"/>
  <c r="AB9" i="23"/>
  <c r="AB10" i="23"/>
  <c r="AB11" i="23"/>
  <c r="AB12" i="23"/>
  <c r="AB13" i="23"/>
  <c r="E8" i="24" l="1"/>
  <c r="E9" i="24" s="1"/>
  <c r="E89" i="24"/>
  <c r="AD78" i="24"/>
  <c r="E90" i="24"/>
  <c r="E43" i="23"/>
  <c r="F43" i="23"/>
  <c r="D26" i="23"/>
  <c r="F26" i="23"/>
  <c r="H26" i="23"/>
  <c r="E26" i="23"/>
  <c r="G26" i="23"/>
  <c r="C26" i="23"/>
  <c r="H25" i="23"/>
  <c r="E11" i="30" s="1"/>
  <c r="E26" i="30" s="1"/>
  <c r="F25" i="23"/>
  <c r="D25" i="23"/>
  <c r="D9" i="30" s="1"/>
  <c r="C25" i="23"/>
  <c r="G25" i="23"/>
  <c r="D11" i="30" s="1"/>
  <c r="D26" i="30" s="1"/>
  <c r="E25" i="23"/>
  <c r="C43" i="23"/>
  <c r="G43" i="23"/>
  <c r="D43" i="23"/>
  <c r="H43" i="23"/>
  <c r="C69" i="24"/>
  <c r="C70" i="24"/>
  <c r="B8" i="24"/>
  <c r="C8" i="24"/>
  <c r="G27" i="23" l="1"/>
  <c r="G47" i="23" s="1"/>
  <c r="H27" i="23"/>
  <c r="H47" i="23" s="1"/>
  <c r="E27" i="23"/>
  <c r="E47" i="23" s="1"/>
  <c r="E9" i="30"/>
  <c r="C27" i="23"/>
  <c r="C47" i="23" s="1"/>
  <c r="C11" i="30"/>
  <c r="F27" i="23"/>
  <c r="F47" i="23" s="1"/>
  <c r="C26" i="28" s="1"/>
  <c r="D27" i="23"/>
  <c r="D47" i="23" s="1"/>
  <c r="E113" i="23"/>
  <c r="F48" i="23" l="1"/>
  <c r="D170" i="24" s="1"/>
  <c r="C50" i="23"/>
  <c r="C11" i="28"/>
  <c r="E48" i="23"/>
  <c r="F169" i="24" s="1"/>
  <c r="C26" i="30"/>
  <c r="D171" i="24"/>
  <c r="G48" i="23"/>
  <c r="D26" i="28"/>
  <c r="D11" i="28"/>
  <c r="E50" i="23"/>
  <c r="E26" i="28"/>
  <c r="E11" i="28"/>
  <c r="C49" i="23"/>
  <c r="C48" i="23"/>
  <c r="E49" i="23"/>
  <c r="H48" i="23"/>
  <c r="D50" i="23"/>
  <c r="D49" i="23"/>
  <c r="D48" i="23"/>
  <c r="T33" i="17"/>
  <c r="I33" i="17"/>
  <c r="J49" i="18"/>
  <c r="BG6" i="18"/>
  <c r="BH6" i="18"/>
  <c r="BI6" i="18"/>
  <c r="BJ6" i="18"/>
  <c r="BK6" i="18"/>
  <c r="BG7" i="18"/>
  <c r="BH7" i="18"/>
  <c r="BI7" i="18"/>
  <c r="BJ7" i="18"/>
  <c r="BK7" i="18"/>
  <c r="BG8" i="18"/>
  <c r="BH8" i="18"/>
  <c r="BI8" i="18"/>
  <c r="BJ8" i="18"/>
  <c r="BK8" i="18"/>
  <c r="BG9" i="18"/>
  <c r="BH9" i="18"/>
  <c r="BI9" i="18"/>
  <c r="BJ9" i="18"/>
  <c r="BK9" i="18"/>
  <c r="BG10" i="18"/>
  <c r="BH10" i="18"/>
  <c r="BI10" i="18"/>
  <c r="BJ10" i="18"/>
  <c r="BK10" i="18"/>
  <c r="BG11" i="18"/>
  <c r="BH11" i="18"/>
  <c r="BI11" i="18"/>
  <c r="BJ11" i="18"/>
  <c r="BK11" i="18"/>
  <c r="BG12" i="18"/>
  <c r="BH12" i="18"/>
  <c r="BI12" i="18"/>
  <c r="BJ12" i="18"/>
  <c r="BK12" i="18"/>
  <c r="BG13" i="18"/>
  <c r="BH13" i="18"/>
  <c r="BI13" i="18"/>
  <c r="BJ13" i="18"/>
  <c r="BK13" i="18"/>
  <c r="BG14" i="18"/>
  <c r="BH14" i="18"/>
  <c r="BI14" i="18"/>
  <c r="BJ14" i="18"/>
  <c r="BK14" i="18"/>
  <c r="BG15" i="18"/>
  <c r="BH15" i="18"/>
  <c r="BI15" i="18"/>
  <c r="BJ15" i="18"/>
  <c r="BK15" i="18"/>
  <c r="BG16" i="18"/>
  <c r="BH16" i="18"/>
  <c r="BI16" i="18"/>
  <c r="BJ16" i="18"/>
  <c r="BK16" i="18"/>
  <c r="BG17" i="18"/>
  <c r="BH17" i="18"/>
  <c r="BI17" i="18"/>
  <c r="BJ17" i="18"/>
  <c r="BK17" i="18"/>
  <c r="BG18" i="18"/>
  <c r="BH18" i="18"/>
  <c r="BI18" i="18"/>
  <c r="BJ18" i="18"/>
  <c r="BK18" i="18"/>
  <c r="BG19" i="18"/>
  <c r="BH19" i="18"/>
  <c r="BI19" i="18"/>
  <c r="BJ19" i="18"/>
  <c r="BK19" i="18"/>
  <c r="BG20" i="18"/>
  <c r="BH20" i="18"/>
  <c r="BI20" i="18"/>
  <c r="BJ20" i="18"/>
  <c r="BK20" i="18"/>
  <c r="BG21" i="18"/>
  <c r="BH21" i="18"/>
  <c r="BI21" i="18"/>
  <c r="BJ21" i="18"/>
  <c r="BK21" i="18"/>
  <c r="BG22" i="18"/>
  <c r="BH22" i="18"/>
  <c r="BI22" i="18"/>
  <c r="BJ22" i="18"/>
  <c r="BK22" i="18"/>
  <c r="BG23" i="18"/>
  <c r="BH23" i="18"/>
  <c r="BI23" i="18"/>
  <c r="BJ23" i="18"/>
  <c r="BK23" i="18"/>
  <c r="BG24" i="18"/>
  <c r="BH24" i="18"/>
  <c r="BI24" i="18"/>
  <c r="BJ24" i="18"/>
  <c r="BK24" i="18"/>
  <c r="BG25" i="18"/>
  <c r="BH25" i="18"/>
  <c r="BI25" i="18"/>
  <c r="BJ25" i="18"/>
  <c r="BK25" i="18"/>
  <c r="BG26" i="18"/>
  <c r="BH26" i="18"/>
  <c r="BI26" i="18"/>
  <c r="BJ26" i="18"/>
  <c r="BK26" i="18"/>
  <c r="BG27" i="18"/>
  <c r="AJ61" i="18" s="1"/>
  <c r="BH27" i="18"/>
  <c r="BI27" i="18"/>
  <c r="BJ27" i="18"/>
  <c r="BK27" i="18"/>
  <c r="BG28" i="18"/>
  <c r="AJ62" i="18" s="1"/>
  <c r="BH28" i="18"/>
  <c r="BI28" i="18"/>
  <c r="BJ28" i="18"/>
  <c r="BK28" i="18"/>
  <c r="H26" i="1"/>
  <c r="AF24" i="1"/>
  <c r="F170" i="24" l="1"/>
  <c r="D169" i="24"/>
  <c r="F171" i="24"/>
  <c r="D39" i="28"/>
  <c r="D41" i="28" s="1"/>
  <c r="E169" i="24"/>
  <c r="E171" i="24"/>
  <c r="E39" i="28"/>
  <c r="E41" i="28" s="1"/>
  <c r="E170" i="24"/>
  <c r="D172" i="24"/>
  <c r="J86" i="15"/>
  <c r="D15" i="14"/>
  <c r="E232" i="1"/>
  <c r="F155" i="1"/>
  <c r="F64" i="22"/>
  <c r="J85" i="15" l="1"/>
  <c r="F157" i="1"/>
  <c r="AA143" i="18"/>
  <c r="AB143" i="18"/>
  <c r="AF143" i="18" s="1"/>
  <c r="AC143" i="18"/>
  <c r="AG143" i="18" s="1"/>
  <c r="AI143" i="18"/>
  <c r="AJ143" i="18"/>
  <c r="AK143" i="18"/>
  <c r="AA144" i="18"/>
  <c r="AB144" i="18"/>
  <c r="AF144" i="18" s="1"/>
  <c r="AC144" i="18"/>
  <c r="AG144" i="18" s="1"/>
  <c r="AI144" i="18"/>
  <c r="AJ144" i="18"/>
  <c r="AK144" i="18"/>
  <c r="AE143" i="18" l="1"/>
  <c r="J143" i="18" s="1"/>
  <c r="AZ118" i="18"/>
  <c r="AE144" i="18"/>
  <c r="J144" i="18" s="1"/>
  <c r="AZ119" i="18"/>
  <c r="K143" i="18"/>
  <c r="K144" i="18"/>
  <c r="L144" i="18"/>
  <c r="L143" i="18"/>
  <c r="AJ149" i="18"/>
  <c r="AK149" i="18"/>
  <c r="AJ150" i="18"/>
  <c r="AK150" i="18"/>
  <c r="AJ151" i="18"/>
  <c r="AK151" i="18"/>
  <c r="AI150" i="18"/>
  <c r="AI151" i="18"/>
  <c r="AI149" i="18"/>
  <c r="AA150" i="18"/>
  <c r="AB150" i="18"/>
  <c r="AF150" i="18" s="1"/>
  <c r="AC150" i="18"/>
  <c r="AA151" i="18"/>
  <c r="AB151" i="18"/>
  <c r="AF151" i="18" s="1"/>
  <c r="AC151" i="18"/>
  <c r="AB149" i="18"/>
  <c r="AF149" i="18" s="1"/>
  <c r="AC149" i="18"/>
  <c r="AG149" i="18" s="1"/>
  <c r="AA149" i="18"/>
  <c r="AG151" i="18"/>
  <c r="AG150" i="18"/>
  <c r="AE149" i="18" l="1"/>
  <c r="AZ120" i="18"/>
  <c r="AE150" i="18"/>
  <c r="J150" i="18" s="1"/>
  <c r="AZ121" i="18"/>
  <c r="AE151" i="18"/>
  <c r="J151" i="18" s="1"/>
  <c r="AZ122" i="18"/>
  <c r="L151" i="18"/>
  <c r="K149" i="18"/>
  <c r="L149" i="18"/>
  <c r="J149" i="18"/>
  <c r="L150" i="18"/>
  <c r="K150" i="18"/>
  <c r="K151" i="18"/>
  <c r="K137" i="1" l="1"/>
  <c r="K135" i="1"/>
  <c r="N137" i="1" l="1"/>
  <c r="N135" i="1"/>
  <c r="AB142" i="18"/>
  <c r="AF142" i="18" s="1"/>
  <c r="AC142" i="18"/>
  <c r="AG142" i="18" s="1"/>
  <c r="AA142" i="18"/>
  <c r="AJ142" i="18"/>
  <c r="AK142" i="18"/>
  <c r="AI142" i="18"/>
  <c r="AE142" i="18" l="1"/>
  <c r="J142" i="18" s="1"/>
  <c r="AZ117" i="18"/>
  <c r="AG68" i="21" s="1"/>
  <c r="D155" i="24"/>
  <c r="B11" i="24"/>
  <c r="AF8" i="1"/>
  <c r="F8" i="1" s="1"/>
  <c r="I40" i="1"/>
  <c r="L142" i="18"/>
  <c r="K142" i="18"/>
  <c r="AL37" i="2"/>
  <c r="AE40" i="2"/>
  <c r="AE45" i="2"/>
  <c r="AE50" i="2"/>
  <c r="AE51" i="2"/>
  <c r="AE55" i="2"/>
  <c r="AE56" i="2"/>
  <c r="AE59" i="2"/>
  <c r="AE60" i="2"/>
  <c r="AF42" i="2"/>
  <c r="AF43" i="2"/>
  <c r="AF44" i="2"/>
  <c r="AF46" i="2"/>
  <c r="AF47" i="2"/>
  <c r="AF48" i="2"/>
  <c r="AF49" i="2"/>
  <c r="AF52" i="2"/>
  <c r="AF53" i="2"/>
  <c r="AF54" i="2"/>
  <c r="AF57" i="2"/>
  <c r="AF58" i="2"/>
  <c r="AF61" i="2"/>
  <c r="AF41" i="2"/>
  <c r="AJ61" i="2"/>
  <c r="AI61" i="2"/>
  <c r="AH61" i="2"/>
  <c r="AJ59" i="2"/>
  <c r="AI59" i="2"/>
  <c r="AH59" i="2"/>
  <c r="AJ58" i="2"/>
  <c r="AI58" i="2"/>
  <c r="AH58" i="2"/>
  <c r="AJ57" i="2"/>
  <c r="AI57" i="2"/>
  <c r="AH57" i="2"/>
  <c r="AJ55" i="2"/>
  <c r="AI55" i="2"/>
  <c r="AH55" i="2"/>
  <c r="AJ54" i="2"/>
  <c r="AI54" i="2"/>
  <c r="AH54" i="2"/>
  <c r="AJ53" i="2"/>
  <c r="AI53" i="2"/>
  <c r="AH53" i="2"/>
  <c r="AJ52" i="2"/>
  <c r="AI52" i="2"/>
  <c r="AH52" i="2"/>
  <c r="AJ49" i="2"/>
  <c r="AI49" i="2"/>
  <c r="AH49" i="2"/>
  <c r="AJ48" i="2"/>
  <c r="AI48" i="2"/>
  <c r="AH48" i="2"/>
  <c r="AJ47" i="2"/>
  <c r="AI47" i="2"/>
  <c r="AH47" i="2"/>
  <c r="AJ46" i="2"/>
  <c r="AI46" i="2"/>
  <c r="AH46" i="2"/>
  <c r="AJ44" i="2"/>
  <c r="AI44" i="2"/>
  <c r="AH44" i="2"/>
  <c r="AJ43" i="2"/>
  <c r="AI43" i="2"/>
  <c r="AH43" i="2"/>
  <c r="AJ42" i="2"/>
  <c r="AI42" i="2"/>
  <c r="AH42" i="2"/>
  <c r="J59" i="19" l="1"/>
  <c r="J58" i="19"/>
  <c r="J32" i="19"/>
  <c r="J31" i="19"/>
  <c r="AM38" i="2"/>
  <c r="AO39" i="2" s="1"/>
  <c r="AL38" i="2"/>
  <c r="AO38" i="2" s="1"/>
  <c r="BR61" i="2"/>
  <c r="BQ61" i="2"/>
  <c r="BP61" i="2"/>
  <c r="BO61" i="2"/>
  <c r="BN61" i="2"/>
  <c r="BM61" i="2"/>
  <c r="BL61" i="2"/>
  <c r="BK61" i="2"/>
  <c r="BJ61" i="2"/>
  <c r="BR59" i="2"/>
  <c r="BQ59" i="2"/>
  <c r="BP59" i="2"/>
  <c r="BO59" i="2"/>
  <c r="BN59" i="2"/>
  <c r="BM59" i="2"/>
  <c r="BL59" i="2"/>
  <c r="BK59" i="2"/>
  <c r="BJ59" i="2"/>
  <c r="BR58" i="2"/>
  <c r="BQ58" i="2"/>
  <c r="BP58" i="2"/>
  <c r="BO58" i="2"/>
  <c r="BN58" i="2"/>
  <c r="BM58" i="2"/>
  <c r="BL58" i="2"/>
  <c r="BK58" i="2"/>
  <c r="BJ58" i="2"/>
  <c r="BR57" i="2"/>
  <c r="BQ57" i="2"/>
  <c r="BP57" i="2"/>
  <c r="BO57" i="2"/>
  <c r="BN57" i="2"/>
  <c r="BM57" i="2"/>
  <c r="BL57" i="2"/>
  <c r="BK57" i="2"/>
  <c r="BJ57" i="2"/>
  <c r="BR55" i="2"/>
  <c r="BQ55" i="2"/>
  <c r="BP55" i="2"/>
  <c r="BO55" i="2"/>
  <c r="BN55" i="2"/>
  <c r="BM55" i="2"/>
  <c r="BL55" i="2"/>
  <c r="BK55" i="2"/>
  <c r="BJ55" i="2"/>
  <c r="BR54" i="2"/>
  <c r="BQ54" i="2"/>
  <c r="BP54" i="2"/>
  <c r="BO54" i="2"/>
  <c r="BN54" i="2"/>
  <c r="BM54" i="2"/>
  <c r="BL54" i="2"/>
  <c r="BK54" i="2"/>
  <c r="BJ54" i="2"/>
  <c r="BR53" i="2"/>
  <c r="BQ53" i="2"/>
  <c r="BP53" i="2"/>
  <c r="BO53" i="2"/>
  <c r="BN53" i="2"/>
  <c r="BM53" i="2"/>
  <c r="BL53" i="2"/>
  <c r="BK53" i="2"/>
  <c r="BJ53" i="2"/>
  <c r="BR52" i="2"/>
  <c r="BQ52" i="2"/>
  <c r="BP52" i="2"/>
  <c r="BO52" i="2"/>
  <c r="BN52" i="2"/>
  <c r="BM52" i="2"/>
  <c r="BL52" i="2"/>
  <c r="BK52" i="2"/>
  <c r="BJ52" i="2"/>
  <c r="BR49" i="2"/>
  <c r="BQ49" i="2"/>
  <c r="BP49" i="2"/>
  <c r="BO49" i="2"/>
  <c r="BN49" i="2"/>
  <c r="BM49" i="2"/>
  <c r="BL49" i="2"/>
  <c r="BK49" i="2"/>
  <c r="BJ49" i="2"/>
  <c r="BR48" i="2"/>
  <c r="BQ48" i="2"/>
  <c r="BP48" i="2"/>
  <c r="BO48" i="2"/>
  <c r="BN48" i="2"/>
  <c r="BM48" i="2"/>
  <c r="BL48" i="2"/>
  <c r="BK48" i="2"/>
  <c r="BJ48" i="2"/>
  <c r="BR47" i="2"/>
  <c r="BQ47" i="2"/>
  <c r="BP47" i="2"/>
  <c r="BO47" i="2"/>
  <c r="BN47" i="2"/>
  <c r="BM47" i="2"/>
  <c r="BL47" i="2"/>
  <c r="BK47" i="2"/>
  <c r="BJ47" i="2"/>
  <c r="BR46" i="2"/>
  <c r="BQ46" i="2"/>
  <c r="BP46" i="2"/>
  <c r="BO46" i="2"/>
  <c r="BN46" i="2"/>
  <c r="BM46" i="2"/>
  <c r="BL46" i="2"/>
  <c r="BK46" i="2"/>
  <c r="BJ46" i="2"/>
  <c r="BR44" i="2"/>
  <c r="BQ44" i="2"/>
  <c r="BP44" i="2"/>
  <c r="BO44" i="2"/>
  <c r="BN44" i="2"/>
  <c r="BM44" i="2"/>
  <c r="BL44" i="2"/>
  <c r="BK44" i="2"/>
  <c r="BJ44" i="2"/>
  <c r="BR43" i="2"/>
  <c r="BQ43" i="2"/>
  <c r="BP43" i="2"/>
  <c r="BO43" i="2"/>
  <c r="BN43" i="2"/>
  <c r="BM43" i="2"/>
  <c r="BL43" i="2"/>
  <c r="BK43" i="2"/>
  <c r="BJ43" i="2"/>
  <c r="BR42" i="2"/>
  <c r="BQ42" i="2"/>
  <c r="BP42" i="2"/>
  <c r="BO42" i="2"/>
  <c r="BN42" i="2"/>
  <c r="BM42" i="2"/>
  <c r="BL42" i="2"/>
  <c r="BK42" i="2"/>
  <c r="BJ42" i="2"/>
  <c r="BR41" i="2"/>
  <c r="BQ41" i="2"/>
  <c r="BP41" i="2"/>
  <c r="BO41" i="2"/>
  <c r="BN41" i="2"/>
  <c r="BM41" i="2"/>
  <c r="BL41" i="2"/>
  <c r="BK41" i="2"/>
  <c r="BJ41" i="2"/>
  <c r="BH61" i="2"/>
  <c r="BG61" i="2"/>
  <c r="BF61" i="2"/>
  <c r="BE61" i="2"/>
  <c r="BD61" i="2"/>
  <c r="BC61" i="2"/>
  <c r="BB61" i="2"/>
  <c r="BA61" i="2"/>
  <c r="AZ61" i="2"/>
  <c r="BH59" i="2"/>
  <c r="BG59" i="2"/>
  <c r="BF59" i="2"/>
  <c r="BE59" i="2"/>
  <c r="BD59" i="2"/>
  <c r="BC59" i="2"/>
  <c r="BB59" i="2"/>
  <c r="BA59" i="2"/>
  <c r="AZ59" i="2"/>
  <c r="BH58" i="2"/>
  <c r="BG58" i="2"/>
  <c r="BF58" i="2"/>
  <c r="BE58" i="2"/>
  <c r="BD58" i="2"/>
  <c r="BC58" i="2"/>
  <c r="BB58" i="2"/>
  <c r="BA58" i="2"/>
  <c r="AZ58" i="2"/>
  <c r="BH57" i="2"/>
  <c r="BG57" i="2"/>
  <c r="BF57" i="2"/>
  <c r="BE57" i="2"/>
  <c r="BD57" i="2"/>
  <c r="BC57" i="2"/>
  <c r="BB57" i="2"/>
  <c r="BA57" i="2"/>
  <c r="AZ57" i="2"/>
  <c r="BH55" i="2"/>
  <c r="BG55" i="2"/>
  <c r="BF55" i="2"/>
  <c r="BE55" i="2"/>
  <c r="BD55" i="2"/>
  <c r="BC55" i="2"/>
  <c r="BB55" i="2"/>
  <c r="BA55" i="2"/>
  <c r="AZ55" i="2"/>
  <c r="BH54" i="2"/>
  <c r="BG54" i="2"/>
  <c r="BF54" i="2"/>
  <c r="BE54" i="2"/>
  <c r="BD54" i="2"/>
  <c r="BC54" i="2"/>
  <c r="BB54" i="2"/>
  <c r="BA54" i="2"/>
  <c r="AZ54" i="2"/>
  <c r="BH53" i="2"/>
  <c r="BG53" i="2"/>
  <c r="BF53" i="2"/>
  <c r="BE53" i="2"/>
  <c r="BD53" i="2"/>
  <c r="BC53" i="2"/>
  <c r="BB53" i="2"/>
  <c r="BA53" i="2"/>
  <c r="AZ53" i="2"/>
  <c r="BH52" i="2"/>
  <c r="BG52" i="2"/>
  <c r="BF52" i="2"/>
  <c r="BE52" i="2"/>
  <c r="BD52" i="2"/>
  <c r="BC52" i="2"/>
  <c r="BB52" i="2"/>
  <c r="BA52" i="2"/>
  <c r="AZ52" i="2"/>
  <c r="BH49" i="2"/>
  <c r="BG49" i="2"/>
  <c r="BF49" i="2"/>
  <c r="BE49" i="2"/>
  <c r="BD49" i="2"/>
  <c r="BC49" i="2"/>
  <c r="BB49" i="2"/>
  <c r="BA49" i="2"/>
  <c r="AZ49" i="2"/>
  <c r="BH48" i="2"/>
  <c r="BG48" i="2"/>
  <c r="BF48" i="2"/>
  <c r="BE48" i="2"/>
  <c r="BD48" i="2"/>
  <c r="BC48" i="2"/>
  <c r="BB48" i="2"/>
  <c r="BA48" i="2"/>
  <c r="AZ48" i="2"/>
  <c r="BH47" i="2"/>
  <c r="BG47" i="2"/>
  <c r="BF47" i="2"/>
  <c r="BE47" i="2"/>
  <c r="BD47" i="2"/>
  <c r="BC47" i="2"/>
  <c r="BB47" i="2"/>
  <c r="BA47" i="2"/>
  <c r="AZ47" i="2"/>
  <c r="BH46" i="2"/>
  <c r="BG46" i="2"/>
  <c r="BF46" i="2"/>
  <c r="BE46" i="2"/>
  <c r="BD46" i="2"/>
  <c r="BC46" i="2"/>
  <c r="BB46" i="2"/>
  <c r="BA46" i="2"/>
  <c r="AZ46" i="2"/>
  <c r="BH44" i="2"/>
  <c r="BG44" i="2"/>
  <c r="BF44" i="2"/>
  <c r="BE44" i="2"/>
  <c r="BD44" i="2"/>
  <c r="BC44" i="2"/>
  <c r="BB44" i="2"/>
  <c r="BA44" i="2"/>
  <c r="AZ44" i="2"/>
  <c r="BH43" i="2"/>
  <c r="BG43" i="2"/>
  <c r="BF43" i="2"/>
  <c r="BE43" i="2"/>
  <c r="BD43" i="2"/>
  <c r="BC43" i="2"/>
  <c r="BB43" i="2"/>
  <c r="BA43" i="2"/>
  <c r="AZ43" i="2"/>
  <c r="BH42" i="2"/>
  <c r="BG42" i="2"/>
  <c r="BF42" i="2"/>
  <c r="BE42" i="2"/>
  <c r="BD42" i="2"/>
  <c r="BC42" i="2"/>
  <c r="BB42" i="2"/>
  <c r="BA42" i="2"/>
  <c r="AZ42" i="2"/>
  <c r="BH41" i="2"/>
  <c r="BG41" i="2"/>
  <c r="BF41" i="2"/>
  <c r="BE41" i="2"/>
  <c r="BD41" i="2"/>
  <c r="BC41" i="2"/>
  <c r="BB41" i="2"/>
  <c r="BA41" i="2"/>
  <c r="AZ41" i="2"/>
  <c r="AX61" i="2"/>
  <c r="AW61" i="2"/>
  <c r="AV61" i="2"/>
  <c r="AU61" i="2"/>
  <c r="AT61" i="2"/>
  <c r="AS61" i="2"/>
  <c r="AR61" i="2"/>
  <c r="AQ61" i="2"/>
  <c r="AP61" i="2"/>
  <c r="AX59" i="2"/>
  <c r="AW59" i="2"/>
  <c r="AV59" i="2"/>
  <c r="AU59" i="2"/>
  <c r="AT59" i="2"/>
  <c r="AS59" i="2"/>
  <c r="AR59" i="2"/>
  <c r="AQ59" i="2"/>
  <c r="AP59" i="2"/>
  <c r="AX58" i="2"/>
  <c r="AW58" i="2"/>
  <c r="AV58" i="2"/>
  <c r="AU58" i="2"/>
  <c r="AT58" i="2"/>
  <c r="AS58" i="2"/>
  <c r="AR58" i="2"/>
  <c r="AQ58" i="2"/>
  <c r="AP58" i="2"/>
  <c r="AX57" i="2"/>
  <c r="AW57" i="2"/>
  <c r="AV57" i="2"/>
  <c r="AU57" i="2"/>
  <c r="AT57" i="2"/>
  <c r="AS57" i="2"/>
  <c r="AR57" i="2"/>
  <c r="AQ57" i="2"/>
  <c r="AP57" i="2"/>
  <c r="AX55" i="2"/>
  <c r="AW55" i="2"/>
  <c r="AV55" i="2"/>
  <c r="AU55" i="2"/>
  <c r="AT55" i="2"/>
  <c r="AS55" i="2"/>
  <c r="AR55" i="2"/>
  <c r="AQ55" i="2"/>
  <c r="AP55" i="2"/>
  <c r="AX54" i="2"/>
  <c r="AW54" i="2"/>
  <c r="AV54" i="2"/>
  <c r="AU54" i="2"/>
  <c r="AT54" i="2"/>
  <c r="AS54" i="2"/>
  <c r="AR54" i="2"/>
  <c r="AQ54" i="2"/>
  <c r="AP54" i="2"/>
  <c r="AX53" i="2"/>
  <c r="AW53" i="2"/>
  <c r="AV53" i="2"/>
  <c r="AU53" i="2"/>
  <c r="AT53" i="2"/>
  <c r="AS53" i="2"/>
  <c r="AR53" i="2"/>
  <c r="AQ53" i="2"/>
  <c r="AP53" i="2"/>
  <c r="AX52" i="2"/>
  <c r="AW52" i="2"/>
  <c r="AV52" i="2"/>
  <c r="AU52" i="2"/>
  <c r="AT52" i="2"/>
  <c r="AS52" i="2"/>
  <c r="AR52" i="2"/>
  <c r="AQ52" i="2"/>
  <c r="AP52" i="2"/>
  <c r="AX49" i="2"/>
  <c r="AW49" i="2"/>
  <c r="AV49" i="2"/>
  <c r="AU49" i="2"/>
  <c r="AT49" i="2"/>
  <c r="AS49" i="2"/>
  <c r="AR49" i="2"/>
  <c r="AQ49" i="2"/>
  <c r="AP49" i="2"/>
  <c r="AX48" i="2"/>
  <c r="AW48" i="2"/>
  <c r="AV48" i="2"/>
  <c r="AU48" i="2"/>
  <c r="AT48" i="2"/>
  <c r="AS48" i="2"/>
  <c r="AR48" i="2"/>
  <c r="AQ48" i="2"/>
  <c r="AP48" i="2"/>
  <c r="AX47" i="2"/>
  <c r="AW47" i="2"/>
  <c r="AV47" i="2"/>
  <c r="AU47" i="2"/>
  <c r="AT47" i="2"/>
  <c r="AS47" i="2"/>
  <c r="AR47" i="2"/>
  <c r="AQ47" i="2"/>
  <c r="AP47" i="2"/>
  <c r="AX46" i="2"/>
  <c r="AW46" i="2"/>
  <c r="AV46" i="2"/>
  <c r="AU46" i="2"/>
  <c r="AT46" i="2"/>
  <c r="AS46" i="2"/>
  <c r="AR46" i="2"/>
  <c r="AQ46" i="2"/>
  <c r="AP46" i="2"/>
  <c r="AX44" i="2"/>
  <c r="AW44" i="2"/>
  <c r="AV44" i="2"/>
  <c r="AU44" i="2"/>
  <c r="AT44" i="2"/>
  <c r="AS44" i="2"/>
  <c r="AR44" i="2"/>
  <c r="AQ44" i="2"/>
  <c r="AP44" i="2"/>
  <c r="AX43" i="2"/>
  <c r="AW43" i="2"/>
  <c r="AV43" i="2"/>
  <c r="AU43" i="2"/>
  <c r="AT43" i="2"/>
  <c r="AS43" i="2"/>
  <c r="AR43" i="2"/>
  <c r="AQ43" i="2"/>
  <c r="AP43" i="2"/>
  <c r="AX42" i="2"/>
  <c r="AW42" i="2"/>
  <c r="AV42" i="2"/>
  <c r="AU42" i="2"/>
  <c r="AT42" i="2"/>
  <c r="AS42" i="2"/>
  <c r="AR42" i="2"/>
  <c r="AQ42" i="2"/>
  <c r="AP42" i="2"/>
  <c r="AX41" i="2"/>
  <c r="AW41" i="2"/>
  <c r="AV41" i="2"/>
  <c r="AU41" i="2"/>
  <c r="AT41" i="2"/>
  <c r="AS41" i="2"/>
  <c r="AR41" i="2"/>
  <c r="AQ41" i="2"/>
  <c r="AP41" i="2"/>
  <c r="AR39" i="2"/>
  <c r="AQ39" i="2"/>
  <c r="AP39" i="2"/>
  <c r="AV38" i="2"/>
  <c r="AS38" i="2"/>
  <c r="AP38" i="2"/>
  <c r="AL39" i="2" s="1"/>
  <c r="M59" i="19"/>
  <c r="BL39" i="2" s="1"/>
  <c r="L59" i="19"/>
  <c r="BK39" i="2" s="1"/>
  <c r="K59" i="19"/>
  <c r="BJ39" i="2" s="1"/>
  <c r="Q58" i="19"/>
  <c r="BP38" i="2" s="1"/>
  <c r="N58" i="19"/>
  <c r="BM38" i="2" s="1"/>
  <c r="K58" i="19"/>
  <c r="BJ38" i="2" s="1"/>
  <c r="M32" i="19"/>
  <c r="BB39" i="2" s="1"/>
  <c r="L32" i="19"/>
  <c r="BA39" i="2" s="1"/>
  <c r="K32" i="19"/>
  <c r="AZ39" i="2" s="1"/>
  <c r="Q31" i="19"/>
  <c r="BF38" i="2" s="1"/>
  <c r="N31" i="19"/>
  <c r="BC38" i="2" s="1"/>
  <c r="K31" i="19"/>
  <c r="AZ38" i="2" s="1"/>
  <c r="J61" i="19"/>
  <c r="J62" i="19"/>
  <c r="J63" i="19"/>
  <c r="J64" i="19"/>
  <c r="J66" i="19"/>
  <c r="J67" i="19"/>
  <c r="J68" i="19"/>
  <c r="J69" i="19"/>
  <c r="J72" i="19"/>
  <c r="J73" i="19"/>
  <c r="J74" i="19"/>
  <c r="J77" i="19"/>
  <c r="J78" i="19"/>
  <c r="J81" i="19"/>
  <c r="I65" i="19"/>
  <c r="I70" i="19"/>
  <c r="I71" i="19"/>
  <c r="I75" i="19"/>
  <c r="I76" i="19"/>
  <c r="I79" i="19"/>
  <c r="I80" i="19"/>
  <c r="I60" i="19"/>
  <c r="J34" i="19"/>
  <c r="J35" i="19"/>
  <c r="J36" i="19"/>
  <c r="J37" i="19"/>
  <c r="I38" i="19"/>
  <c r="J39" i="19"/>
  <c r="J40" i="19"/>
  <c r="J41" i="19"/>
  <c r="J42" i="19"/>
  <c r="I43" i="19"/>
  <c r="I44" i="19"/>
  <c r="J45" i="19"/>
  <c r="J46" i="19"/>
  <c r="J47" i="19"/>
  <c r="I48" i="19"/>
  <c r="I49" i="19"/>
  <c r="J50" i="19"/>
  <c r="J51" i="19"/>
  <c r="I52" i="19"/>
  <c r="J54" i="19"/>
  <c r="I33" i="19"/>
  <c r="S5" i="19"/>
  <c r="AX39" i="2" s="1"/>
  <c r="R5" i="19"/>
  <c r="AW39" i="2" s="1"/>
  <c r="Q5" i="19"/>
  <c r="AV39" i="2" s="1"/>
  <c r="P5" i="19"/>
  <c r="AU39" i="2" s="1"/>
  <c r="O5" i="19"/>
  <c r="O59" i="19" s="1"/>
  <c r="BN39" i="2" s="1"/>
  <c r="N5" i="19"/>
  <c r="N59" i="19" s="1"/>
  <c r="BM39" i="2" s="1"/>
  <c r="S4" i="19"/>
  <c r="S58" i="19" s="1"/>
  <c r="BR38" i="2" s="1"/>
  <c r="R4" i="19"/>
  <c r="AW38" i="2" s="1"/>
  <c r="P4" i="19"/>
  <c r="AU38" i="2" s="1"/>
  <c r="O4" i="19"/>
  <c r="O58" i="19" s="1"/>
  <c r="BN38" i="2" s="1"/>
  <c r="M4" i="19"/>
  <c r="AR38" i="2" s="1"/>
  <c r="L4" i="19"/>
  <c r="AQ38" i="2" s="1"/>
  <c r="BJ36" i="2"/>
  <c r="AZ36" i="2"/>
  <c r="AP36" i="2"/>
  <c r="M31" i="19" l="1"/>
  <c r="BB38" i="2" s="1"/>
  <c r="S32" i="19"/>
  <c r="BH39" i="2" s="1"/>
  <c r="M58" i="19"/>
  <c r="BL38" i="2" s="1"/>
  <c r="P31" i="19"/>
  <c r="BE38" i="2" s="1"/>
  <c r="P58" i="19"/>
  <c r="BO38" i="2" s="1"/>
  <c r="AT38" i="2"/>
  <c r="O31" i="19"/>
  <c r="BD38" i="2" s="1"/>
  <c r="R32" i="19"/>
  <c r="BG39" i="2" s="1"/>
  <c r="R59" i="19"/>
  <c r="BQ39" i="2" s="1"/>
  <c r="AT39" i="2"/>
  <c r="O32" i="19"/>
  <c r="BD39" i="2" s="1"/>
  <c r="P59" i="19"/>
  <c r="BO39" i="2" s="1"/>
  <c r="S59" i="19"/>
  <c r="BR39" i="2" s="1"/>
  <c r="P32" i="19"/>
  <c r="BE39" i="2" s="1"/>
  <c r="N32" i="19"/>
  <c r="BC39" i="2" s="1"/>
  <c r="Q59" i="19"/>
  <c r="BP39" i="2" s="1"/>
  <c r="AS39" i="2"/>
  <c r="Q32" i="19"/>
  <c r="BF39" i="2" s="1"/>
  <c r="S31" i="19"/>
  <c r="BH38" i="2" s="1"/>
  <c r="R58" i="19"/>
  <c r="BQ38" i="2" s="1"/>
  <c r="AX38" i="2"/>
  <c r="R31" i="19"/>
  <c r="BG38" i="2" s="1"/>
  <c r="L31" i="19"/>
  <c r="BA38" i="2" s="1"/>
  <c r="L58" i="19"/>
  <c r="BK38" i="2" s="1"/>
  <c r="D28" i="2"/>
  <c r="G139" i="1"/>
  <c r="J30" i="15" s="1"/>
  <c r="J35" i="1"/>
  <c r="AI160" i="18"/>
  <c r="K139" i="1" l="1"/>
  <c r="G232" i="1"/>
  <c r="BC89" i="19"/>
  <c r="BC90" i="19"/>
  <c r="N139" i="1" l="1"/>
  <c r="AM30" i="4"/>
  <c r="AK30" i="4"/>
  <c r="AI30" i="4"/>
  <c r="AJ30" i="4"/>
  <c r="AH30" i="4"/>
  <c r="AM29" i="4"/>
  <c r="U31" i="4" s="1"/>
  <c r="T31" i="4"/>
  <c r="R31" i="4"/>
  <c r="Q31" i="4"/>
  <c r="AI29" i="4"/>
  <c r="O31" i="4" s="1"/>
  <c r="AH29" i="4"/>
  <c r="N31" i="4" s="1"/>
  <c r="AM28" i="4"/>
  <c r="AI28" i="4"/>
  <c r="AH28" i="4"/>
  <c r="AM39" i="2"/>
  <c r="AJ41" i="2"/>
  <c r="P31" i="4" l="1"/>
  <c r="S31" i="4"/>
  <c r="V31" i="4"/>
  <c r="L28" i="8"/>
  <c r="L27" i="8"/>
  <c r="L26" i="8"/>
  <c r="L25" i="8"/>
  <c r="AH41" i="2"/>
  <c r="AI41" i="2"/>
  <c r="AD22" i="8" l="1"/>
  <c r="N17" i="8" s="1"/>
  <c r="AD23" i="8" l="1"/>
  <c r="N18" i="8" s="1"/>
  <c r="AD24" i="8"/>
  <c r="N19" i="8" s="1"/>
  <c r="I22" i="22" l="1"/>
  <c r="I21" i="22"/>
  <c r="I20" i="22"/>
  <c r="I15" i="22"/>
  <c r="I14" i="22"/>
  <c r="I13" i="22"/>
  <c r="F33" i="19"/>
  <c r="G33" i="19"/>
  <c r="E33" i="19"/>
  <c r="AA21" i="22" l="1"/>
  <c r="AA13" i="22"/>
  <c r="I17" i="22"/>
  <c r="AA15" i="22"/>
  <c r="AA14" i="22"/>
  <c r="AA20" i="22"/>
  <c r="I24" i="22"/>
  <c r="AA22" i="22"/>
  <c r="AL20" i="18"/>
  <c r="AL22" i="18"/>
  <c r="AZ23" i="18"/>
  <c r="BA23" i="18"/>
  <c r="BB23" i="18"/>
  <c r="BC23" i="18"/>
  <c r="BD23" i="18"/>
  <c r="AY23" i="18"/>
  <c r="AT23" i="18"/>
  <c r="AU23" i="18"/>
  <c r="AV23" i="18"/>
  <c r="AW23" i="18"/>
  <c r="AX23" i="18"/>
  <c r="AS23" i="18"/>
  <c r="AN23" i="18"/>
  <c r="AO23" i="18"/>
  <c r="AP23" i="18"/>
  <c r="AQ23" i="18"/>
  <c r="AR23" i="18"/>
  <c r="AC22" i="18"/>
  <c r="AC21" i="18"/>
  <c r="CO1" i="19"/>
  <c r="AL21" i="18" l="1"/>
  <c r="AL23" i="18" s="1"/>
  <c r="AA17" i="22"/>
  <c r="AA24" i="22"/>
  <c r="I124" i="21"/>
  <c r="J118" i="21"/>
  <c r="F118" i="21"/>
  <c r="B118" i="21"/>
  <c r="B121" i="21"/>
  <c r="B120" i="21"/>
  <c r="B119" i="21" l="1"/>
  <c r="I108" i="21"/>
  <c r="B102" i="21"/>
  <c r="B101" i="21"/>
  <c r="AB101" i="21" l="1"/>
  <c r="J120" i="21"/>
  <c r="J121" i="21"/>
  <c r="J122" i="21"/>
  <c r="J123" i="21"/>
  <c r="J119" i="21"/>
  <c r="J102" i="21"/>
  <c r="AF106" i="21"/>
  <c r="AG106" i="21"/>
  <c r="J106" i="21"/>
  <c r="U26" i="4"/>
  <c r="R26" i="4"/>
  <c r="O26" i="4"/>
  <c r="M33" i="4"/>
  <c r="L24" i="4"/>
  <c r="N60" i="17"/>
  <c r="C60" i="17"/>
  <c r="AA124" i="18"/>
  <c r="AB124" i="18"/>
  <c r="AF124" i="18" s="1"/>
  <c r="AC124" i="18"/>
  <c r="AG124" i="18" s="1"/>
  <c r="AI124" i="18"/>
  <c r="AJ124" i="18"/>
  <c r="AK124" i="18"/>
  <c r="AE124" i="18" l="1"/>
  <c r="AZ110" i="18"/>
  <c r="P25" i="4"/>
  <c r="O32" i="4" s="1"/>
  <c r="O33" i="4" s="1"/>
  <c r="O20" i="4" s="1"/>
  <c r="V25" i="4"/>
  <c r="V32" i="4" s="1"/>
  <c r="V33" i="4" s="1"/>
  <c r="K124" i="18"/>
  <c r="L124" i="18"/>
  <c r="J124" i="18"/>
  <c r="J124" i="21"/>
  <c r="S25" i="4"/>
  <c r="AW70" i="22"/>
  <c r="F67" i="22"/>
  <c r="AD63" i="22"/>
  <c r="F62" i="22"/>
  <c r="AC63" i="22"/>
  <c r="AJ70" i="22"/>
  <c r="AR70" i="22"/>
  <c r="F71" i="22"/>
  <c r="AD70" i="22"/>
  <c r="F73" i="22"/>
  <c r="AK77" i="22"/>
  <c r="AS77" i="22"/>
  <c r="BB77" i="22"/>
  <c r="AK85" i="22"/>
  <c r="AS85" i="22"/>
  <c r="BE85" i="22"/>
  <c r="BQ85" i="22"/>
  <c r="CC85" i="22"/>
  <c r="CO85" i="22"/>
  <c r="AX100" i="22"/>
  <c r="AH93" i="22" s="1"/>
  <c r="BC100" i="22"/>
  <c r="AH95" i="22" s="1"/>
  <c r="BI100" i="22"/>
  <c r="AH96" i="22" s="1"/>
  <c r="BO100" i="22"/>
  <c r="AH97" i="22" s="1"/>
  <c r="AL100" i="22"/>
  <c r="F100" i="22"/>
  <c r="AR100" i="22"/>
  <c r="F101" i="22"/>
  <c r="AJ7" i="22"/>
  <c r="K7" i="22" s="1"/>
  <c r="K10" i="22"/>
  <c r="AJ14" i="22"/>
  <c r="K14" i="22" s="1"/>
  <c r="K17" i="22"/>
  <c r="AJ21" i="22"/>
  <c r="K21" i="22" s="1"/>
  <c r="K24" i="22"/>
  <c r="AJ26" i="22"/>
  <c r="AJ27" i="22"/>
  <c r="AJ31" i="22"/>
  <c r="AJ32" i="22"/>
  <c r="AJ33" i="22"/>
  <c r="AJ34" i="22"/>
  <c r="AJ35" i="22"/>
  <c r="AJ36" i="22"/>
  <c r="H38" i="22"/>
  <c r="AJ38" i="22"/>
  <c r="H39" i="22"/>
  <c r="AJ39" i="22"/>
  <c r="H40" i="22"/>
  <c r="AJ40" i="22"/>
  <c r="H41" i="22"/>
  <c r="AJ41" i="22"/>
  <c r="AJ42" i="22"/>
  <c r="AJ43" i="22"/>
  <c r="H45" i="22"/>
  <c r="AJ45" i="22"/>
  <c r="H46" i="22"/>
  <c r="AJ46" i="22"/>
  <c r="H47" i="22"/>
  <c r="AJ47" i="22"/>
  <c r="H48" i="22"/>
  <c r="AJ48" i="22"/>
  <c r="H49" i="22"/>
  <c r="AJ49" i="22"/>
  <c r="AW71" i="22"/>
  <c r="AB64" i="22"/>
  <c r="AC64" i="22"/>
  <c r="AJ71" i="22"/>
  <c r="AR71" i="22"/>
  <c r="AD71" i="22"/>
  <c r="AK78" i="22"/>
  <c r="AS78" i="22"/>
  <c r="BB78" i="22"/>
  <c r="AK86" i="22"/>
  <c r="AS86" i="22"/>
  <c r="BE86" i="22"/>
  <c r="BQ86" i="22"/>
  <c r="CC86" i="22"/>
  <c r="CO86" i="22"/>
  <c r="AX101" i="22"/>
  <c r="L93" i="22" s="1"/>
  <c r="BC101" i="22"/>
  <c r="L95" i="22" s="1"/>
  <c r="BI101" i="22"/>
  <c r="L96" i="22" s="1"/>
  <c r="BO101" i="22"/>
  <c r="L97" i="22" s="1"/>
  <c r="AM100" i="22"/>
  <c r="AS100" i="22"/>
  <c r="AK7" i="22"/>
  <c r="L7" i="22" s="1"/>
  <c r="L10" i="22"/>
  <c r="AK14" i="22"/>
  <c r="L14" i="22" s="1"/>
  <c r="L17" i="22"/>
  <c r="AK21" i="22"/>
  <c r="L21" i="22" s="1"/>
  <c r="L24" i="22"/>
  <c r="AK26" i="22"/>
  <c r="L26" i="22" s="1"/>
  <c r="AK27" i="22"/>
  <c r="AK31" i="22"/>
  <c r="L31" i="22" s="1"/>
  <c r="AK32" i="22"/>
  <c r="AK33" i="22"/>
  <c r="L33" i="22" s="1"/>
  <c r="AK34" i="22"/>
  <c r="AK35" i="22"/>
  <c r="L35" i="22" s="1"/>
  <c r="AK36" i="22"/>
  <c r="AK38" i="22"/>
  <c r="AK39" i="22"/>
  <c r="AK40" i="22"/>
  <c r="AK41" i="22"/>
  <c r="AK42" i="22"/>
  <c r="AK43" i="22"/>
  <c r="AK45" i="22"/>
  <c r="AK46" i="22"/>
  <c r="AK47" i="22"/>
  <c r="AK48" i="22"/>
  <c r="AK49" i="22"/>
  <c r="AW69" i="22"/>
  <c r="AB62" i="22"/>
  <c r="AD62" i="22"/>
  <c r="AC62" i="22"/>
  <c r="AJ69" i="22"/>
  <c r="AR69" i="22"/>
  <c r="AD69" i="22"/>
  <c r="AK76" i="22"/>
  <c r="AS76" i="22"/>
  <c r="BB76" i="22"/>
  <c r="AK84" i="22"/>
  <c r="AS84" i="22"/>
  <c r="BE84" i="22"/>
  <c r="BQ84" i="22"/>
  <c r="CC84" i="22"/>
  <c r="CO84" i="22"/>
  <c r="AX99" i="22"/>
  <c r="AF93" i="22" s="1"/>
  <c r="BC99" i="22"/>
  <c r="AF95" i="22" s="1"/>
  <c r="BI99" i="22"/>
  <c r="AF96" i="22" s="1"/>
  <c r="BO99" i="22"/>
  <c r="AF97" i="22" s="1"/>
  <c r="AK100" i="22"/>
  <c r="AQ100" i="22"/>
  <c r="AI45" i="22"/>
  <c r="AI46" i="22"/>
  <c r="AI47" i="22"/>
  <c r="AI48" i="22"/>
  <c r="AI49" i="22"/>
  <c r="AI38" i="22"/>
  <c r="AI39" i="22"/>
  <c r="AI40" i="22"/>
  <c r="AI41" i="22"/>
  <c r="AI42" i="22"/>
  <c r="AI43" i="22"/>
  <c r="J43" i="22" s="1"/>
  <c r="AI7" i="22"/>
  <c r="J7" i="22" s="1"/>
  <c r="J10" i="22"/>
  <c r="AI14" i="22"/>
  <c r="J14" i="22" s="1"/>
  <c r="J17" i="22"/>
  <c r="AI21" i="22"/>
  <c r="J21" i="22" s="1"/>
  <c r="J24" i="22"/>
  <c r="AI26" i="22"/>
  <c r="J26" i="22" s="1"/>
  <c r="AI27" i="22"/>
  <c r="AI31" i="22"/>
  <c r="AI32" i="22"/>
  <c r="AI33" i="22"/>
  <c r="J33" i="22" s="1"/>
  <c r="AI34" i="22"/>
  <c r="AI35" i="22"/>
  <c r="J35" i="22" s="1"/>
  <c r="AI36" i="22"/>
  <c r="AW68" i="22"/>
  <c r="AB61" i="22"/>
  <c r="AC61" i="22"/>
  <c r="AD61" i="22"/>
  <c r="AE61" i="22"/>
  <c r="AJ68" i="22"/>
  <c r="AR68" i="22"/>
  <c r="AD68" i="22"/>
  <c r="AK75" i="22"/>
  <c r="AS75" i="22"/>
  <c r="BB75" i="22"/>
  <c r="AK83" i="22"/>
  <c r="AS83" i="22"/>
  <c r="BE83" i="22"/>
  <c r="BQ83" i="22"/>
  <c r="CC83" i="22"/>
  <c r="CO83" i="22"/>
  <c r="AX98" i="22"/>
  <c r="AD93" i="22" s="1"/>
  <c r="BC98" i="22"/>
  <c r="AD95" i="22" s="1"/>
  <c r="BI98" i="22"/>
  <c r="AD96" i="22" s="1"/>
  <c r="BO98" i="22"/>
  <c r="AD97" i="22" s="1"/>
  <c r="AJ100" i="22"/>
  <c r="AP100" i="22"/>
  <c r="L46" i="1"/>
  <c r="AE47" i="1"/>
  <c r="L47" i="1" s="1"/>
  <c r="AM48" i="1"/>
  <c r="AS55" i="1"/>
  <c r="AV59" i="1"/>
  <c r="AV60" i="1"/>
  <c r="AR64" i="1"/>
  <c r="AR72" i="1"/>
  <c r="L72" i="1" s="1"/>
  <c r="AR79" i="1"/>
  <c r="L79" i="1" s="1"/>
  <c r="AR87" i="1"/>
  <c r="L87" i="1" s="1"/>
  <c r="AV96" i="1"/>
  <c r="AL97" i="1"/>
  <c r="L97" i="1" s="1"/>
  <c r="AR103" i="1"/>
  <c r="L103" i="1" s="1"/>
  <c r="G64" i="15" s="1"/>
  <c r="AR109" i="1"/>
  <c r="L109" i="1" s="1"/>
  <c r="G67" i="15" s="1"/>
  <c r="AL117" i="1"/>
  <c r="M117" i="1" s="1"/>
  <c r="AL118" i="1"/>
  <c r="I27" i="22"/>
  <c r="AA27" i="22" s="1"/>
  <c r="I6" i="22"/>
  <c r="AA6" i="22" s="1"/>
  <c r="I7" i="22"/>
  <c r="AA7" i="22" s="1"/>
  <c r="I8" i="22"/>
  <c r="I26" i="22"/>
  <c r="AA26" i="22" s="1"/>
  <c r="BP98" i="22"/>
  <c r="BP99" i="22"/>
  <c r="BP100" i="22"/>
  <c r="BP101" i="22"/>
  <c r="BN99" i="22"/>
  <c r="BN100" i="22"/>
  <c r="BN101" i="22"/>
  <c r="BN98" i="22"/>
  <c r="BJ98" i="22"/>
  <c r="BJ99" i="22"/>
  <c r="BJ100" i="22"/>
  <c r="BJ101" i="22"/>
  <c r="BH99" i="22"/>
  <c r="BH100" i="22"/>
  <c r="BH101" i="22"/>
  <c r="BH98" i="22"/>
  <c r="BD98" i="22"/>
  <c r="BD99" i="22"/>
  <c r="BD100" i="22"/>
  <c r="BD101" i="22"/>
  <c r="BB99" i="22"/>
  <c r="BB100" i="22"/>
  <c r="BB101" i="22"/>
  <c r="BB98" i="22"/>
  <c r="AY98" i="22"/>
  <c r="AY99" i="22"/>
  <c r="AY100" i="22"/>
  <c r="AY101" i="22"/>
  <c r="AW99" i="22"/>
  <c r="AW100" i="22"/>
  <c r="AW101" i="22"/>
  <c r="AW98" i="22"/>
  <c r="CP86" i="22"/>
  <c r="CN86" i="22"/>
  <c r="CP85" i="22"/>
  <c r="CN85" i="22"/>
  <c r="CP84" i="22"/>
  <c r="CN84" i="22"/>
  <c r="CP83" i="22"/>
  <c r="CN83" i="22"/>
  <c r="CM86" i="22"/>
  <c r="CL86" i="22"/>
  <c r="CK86" i="22"/>
  <c r="CM85" i="22"/>
  <c r="CL85" i="22"/>
  <c r="CK85" i="22"/>
  <c r="CM84" i="22"/>
  <c r="CL84" i="22"/>
  <c r="CK84" i="22"/>
  <c r="CM83" i="22"/>
  <c r="CL83" i="22"/>
  <c r="CK83" i="22"/>
  <c r="CD86" i="22"/>
  <c r="CB86" i="22"/>
  <c r="CD85" i="22"/>
  <c r="CB85" i="22"/>
  <c r="CD84" i="22"/>
  <c r="CB84" i="22"/>
  <c r="CD83" i="22"/>
  <c r="CB83" i="22"/>
  <c r="CA86" i="22"/>
  <c r="BZ86" i="22"/>
  <c r="BY86" i="22"/>
  <c r="CA85" i="22"/>
  <c r="BZ85" i="22"/>
  <c r="BY85" i="22"/>
  <c r="CA84" i="22"/>
  <c r="BZ84" i="22"/>
  <c r="BY84" i="22"/>
  <c r="CA83" i="22"/>
  <c r="BZ83" i="22"/>
  <c r="BY83" i="22"/>
  <c r="BR86" i="22"/>
  <c r="BP86" i="22"/>
  <c r="BR85" i="22"/>
  <c r="BP85" i="22"/>
  <c r="BR84" i="22"/>
  <c r="BP84" i="22"/>
  <c r="BR83" i="22"/>
  <c r="BP83" i="22"/>
  <c r="BO86" i="22"/>
  <c r="BN86" i="22"/>
  <c r="BM86" i="22"/>
  <c r="BO85" i="22"/>
  <c r="BN85" i="22"/>
  <c r="BM85" i="22"/>
  <c r="BO84" i="22"/>
  <c r="BN84" i="22"/>
  <c r="BM84" i="22"/>
  <c r="BO83" i="22"/>
  <c r="BN83" i="22"/>
  <c r="BM83" i="22"/>
  <c r="BF86" i="22"/>
  <c r="BD86" i="22"/>
  <c r="BF85" i="22"/>
  <c r="BD85" i="22"/>
  <c r="BF84" i="22"/>
  <c r="BD84" i="22"/>
  <c r="BF83" i="22"/>
  <c r="BD83" i="22"/>
  <c r="BC86" i="22"/>
  <c r="BB86" i="22"/>
  <c r="BA86" i="22"/>
  <c r="BC85" i="22"/>
  <c r="BB85" i="22"/>
  <c r="BA85" i="22"/>
  <c r="BC84" i="22"/>
  <c r="BB84" i="22"/>
  <c r="BA84" i="22"/>
  <c r="BC83" i="22"/>
  <c r="BB83" i="22"/>
  <c r="BA83" i="22"/>
  <c r="AQ123" i="19"/>
  <c r="AT83" i="22"/>
  <c r="AT84" i="22"/>
  <c r="AT85" i="22"/>
  <c r="AT86" i="22"/>
  <c r="AR84" i="22"/>
  <c r="AR85" i="22"/>
  <c r="AR86" i="22"/>
  <c r="AR83" i="22"/>
  <c r="AL83" i="22"/>
  <c r="AL84" i="22"/>
  <c r="AL85" i="22"/>
  <c r="AL86" i="22"/>
  <c r="AJ84" i="22"/>
  <c r="AF79" i="22" s="1"/>
  <c r="AJ85" i="22"/>
  <c r="AH79" i="22" s="1"/>
  <c r="AJ86" i="22"/>
  <c r="AJ83" i="22"/>
  <c r="AD79" i="22" s="1"/>
  <c r="BE75" i="22"/>
  <c r="AX75" i="22" s="1"/>
  <c r="BF75" i="22"/>
  <c r="BE76" i="22"/>
  <c r="BF76" i="22"/>
  <c r="BE77" i="22"/>
  <c r="BF77" i="22"/>
  <c r="BE78" i="22"/>
  <c r="BF78" i="22"/>
  <c r="BD76" i="22"/>
  <c r="BD77" i="22"/>
  <c r="BD78" i="22"/>
  <c r="BD75" i="22"/>
  <c r="BC75" i="22"/>
  <c r="BC76" i="22"/>
  <c r="BC77" i="22"/>
  <c r="BC78" i="22"/>
  <c r="BA76" i="22"/>
  <c r="BA77" i="22"/>
  <c r="BA78" i="22"/>
  <c r="BA75" i="22"/>
  <c r="AT75" i="22"/>
  <c r="AT76" i="22"/>
  <c r="AT77" i="22"/>
  <c r="AT78" i="22"/>
  <c r="AR76" i="22"/>
  <c r="AR77" i="22"/>
  <c r="AR78" i="22"/>
  <c r="AR75" i="22"/>
  <c r="AL75" i="22"/>
  <c r="AL76" i="22"/>
  <c r="AL77" i="22"/>
  <c r="AL78" i="22"/>
  <c r="AJ76" i="22"/>
  <c r="AJ77" i="22"/>
  <c r="AJ78" i="22"/>
  <c r="AJ75" i="22"/>
  <c r="AC68" i="22"/>
  <c r="AC69" i="22"/>
  <c r="AC70" i="22"/>
  <c r="AC71" i="22"/>
  <c r="AB69" i="22"/>
  <c r="AB70" i="22"/>
  <c r="AB71" i="22"/>
  <c r="AB68" i="22"/>
  <c r="AX68" i="22"/>
  <c r="AX69" i="22"/>
  <c r="AX70" i="22"/>
  <c r="AX71" i="22"/>
  <c r="AS68" i="22"/>
  <c r="AS69" i="22"/>
  <c r="AS70" i="22"/>
  <c r="AS71" i="22"/>
  <c r="AK68" i="22"/>
  <c r="AK69" i="22"/>
  <c r="AK70" i="22"/>
  <c r="AK71" i="22"/>
  <c r="I41" i="22"/>
  <c r="I42" i="22"/>
  <c r="AA42" i="22" s="1"/>
  <c r="I43" i="22"/>
  <c r="AA43" i="22" s="1"/>
  <c r="I35" i="22"/>
  <c r="AA35" i="22" s="1"/>
  <c r="I36" i="22"/>
  <c r="AA36" i="22" s="1"/>
  <c r="D101" i="22"/>
  <c r="D100" i="22"/>
  <c r="D90" i="22"/>
  <c r="D89" i="22"/>
  <c r="I31" i="22"/>
  <c r="AA31" i="22" s="1"/>
  <c r="I32" i="22"/>
  <c r="AA32" i="22" s="1"/>
  <c r="I33" i="22"/>
  <c r="AA33" i="22" s="1"/>
  <c r="I34" i="22"/>
  <c r="AA34" i="22" s="1"/>
  <c r="I38" i="22"/>
  <c r="I39" i="22"/>
  <c r="I40" i="22"/>
  <c r="I45" i="22"/>
  <c r="I46" i="22"/>
  <c r="I47" i="22"/>
  <c r="I48" i="22"/>
  <c r="AA48" i="22" s="1"/>
  <c r="I49" i="22"/>
  <c r="F75" i="22"/>
  <c r="D75" i="22"/>
  <c r="D74" i="22"/>
  <c r="D73" i="22"/>
  <c r="D71" i="22"/>
  <c r="F66" i="22"/>
  <c r="D68" i="22"/>
  <c r="D67" i="22"/>
  <c r="D66" i="22"/>
  <c r="D62" i="22"/>
  <c r="G30" i="3"/>
  <c r="G31" i="3"/>
  <c r="G32" i="3"/>
  <c r="G33" i="3"/>
  <c r="G34" i="3"/>
  <c r="O30" i="3"/>
  <c r="O31" i="3"/>
  <c r="O32" i="3"/>
  <c r="O33" i="3"/>
  <c r="O34" i="3"/>
  <c r="L30" i="3"/>
  <c r="L31" i="3"/>
  <c r="L32" i="3"/>
  <c r="L33" i="3"/>
  <c r="L34" i="3"/>
  <c r="U60" i="3"/>
  <c r="P65" i="3"/>
  <c r="J30" i="5"/>
  <c r="E128" i="5"/>
  <c r="J128" i="5" s="1"/>
  <c r="J122" i="5" s="1"/>
  <c r="I30" i="5"/>
  <c r="J31" i="5"/>
  <c r="I31" i="5"/>
  <c r="J35" i="5"/>
  <c r="J32" i="5"/>
  <c r="X110" i="5"/>
  <c r="I35" i="5"/>
  <c r="I32" i="5"/>
  <c r="S30" i="5"/>
  <c r="N128" i="5"/>
  <c r="S128" i="5" s="1"/>
  <c r="R30" i="5"/>
  <c r="S31" i="5"/>
  <c r="R31" i="5"/>
  <c r="S35" i="5"/>
  <c r="S32" i="5"/>
  <c r="R35" i="5"/>
  <c r="R32" i="5"/>
  <c r="K135" i="5"/>
  <c r="J36" i="5"/>
  <c r="I36" i="5"/>
  <c r="J37" i="5"/>
  <c r="I37" i="5"/>
  <c r="J38" i="5"/>
  <c r="I38" i="5"/>
  <c r="J42" i="5"/>
  <c r="J39" i="5"/>
  <c r="X113" i="5"/>
  <c r="I42" i="5"/>
  <c r="I39" i="5"/>
  <c r="J46" i="5"/>
  <c r="J43" i="5"/>
  <c r="I46" i="5"/>
  <c r="I43" i="5"/>
  <c r="J50" i="5"/>
  <c r="J47" i="5"/>
  <c r="I50" i="5"/>
  <c r="I47" i="5"/>
  <c r="S36" i="5"/>
  <c r="R36" i="5"/>
  <c r="S37" i="5"/>
  <c r="R37" i="5"/>
  <c r="S38" i="5"/>
  <c r="R38" i="5"/>
  <c r="S42" i="5"/>
  <c r="S39" i="5"/>
  <c r="R42" i="5"/>
  <c r="R39" i="5"/>
  <c r="S46" i="5"/>
  <c r="S43" i="5"/>
  <c r="R46" i="5"/>
  <c r="R43" i="5"/>
  <c r="S50" i="5"/>
  <c r="S47" i="5"/>
  <c r="R50" i="5"/>
  <c r="R47" i="5"/>
  <c r="K136" i="5"/>
  <c r="J64" i="5"/>
  <c r="Z125" i="5"/>
  <c r="X123" i="5" s="1"/>
  <c r="AF50" i="1"/>
  <c r="I64" i="5"/>
  <c r="J65" i="5"/>
  <c r="I65" i="5"/>
  <c r="J66" i="5"/>
  <c r="I66" i="5"/>
  <c r="J67" i="5"/>
  <c r="I67" i="5"/>
  <c r="S54" i="5"/>
  <c r="S51" i="5"/>
  <c r="R54" i="5"/>
  <c r="R51" i="5"/>
  <c r="S58" i="5"/>
  <c r="S55" i="5"/>
  <c r="X119" i="5"/>
  <c r="R58" i="5"/>
  <c r="R55" i="5"/>
  <c r="S62" i="5"/>
  <c r="S59" i="5"/>
  <c r="R62" i="5"/>
  <c r="R59" i="5"/>
  <c r="K137" i="5"/>
  <c r="J30" i="7"/>
  <c r="E72" i="7"/>
  <c r="J72" i="7" s="1"/>
  <c r="I30" i="7"/>
  <c r="J33" i="7"/>
  <c r="J31" i="7"/>
  <c r="I33" i="7"/>
  <c r="I31" i="7"/>
  <c r="S30" i="7"/>
  <c r="N72" i="7"/>
  <c r="S72" i="7" s="1"/>
  <c r="R30" i="7"/>
  <c r="S33" i="7"/>
  <c r="S31" i="7"/>
  <c r="R33" i="7"/>
  <c r="R31" i="7"/>
  <c r="AB30" i="7"/>
  <c r="W72" i="7"/>
  <c r="AB72" i="7" s="1"/>
  <c r="AA30" i="7"/>
  <c r="AB33" i="7"/>
  <c r="AB31" i="7"/>
  <c r="AA33" i="7"/>
  <c r="AA31" i="7"/>
  <c r="H91" i="7"/>
  <c r="H88" i="7"/>
  <c r="H107" i="7"/>
  <c r="J34" i="7"/>
  <c r="AG74" i="7"/>
  <c r="AF74" i="7" s="1"/>
  <c r="E80" i="7"/>
  <c r="J80" i="7" s="1"/>
  <c r="I34" i="7"/>
  <c r="S34" i="7"/>
  <c r="N80" i="7"/>
  <c r="S80" i="7" s="1"/>
  <c r="R34" i="7"/>
  <c r="AB34" i="7"/>
  <c r="W80" i="7"/>
  <c r="AB80" i="7" s="1"/>
  <c r="AA34" i="7"/>
  <c r="Q114" i="7"/>
  <c r="H108" i="7"/>
  <c r="J38" i="7"/>
  <c r="J35" i="7"/>
  <c r="AG75" i="7"/>
  <c r="AF75" i="7" s="1"/>
  <c r="I38" i="7"/>
  <c r="I35" i="7"/>
  <c r="S38" i="7"/>
  <c r="S35" i="7"/>
  <c r="R38" i="7"/>
  <c r="R35" i="7"/>
  <c r="AB38" i="7"/>
  <c r="AB35" i="7"/>
  <c r="AA38" i="7"/>
  <c r="AA35" i="7"/>
  <c r="H96" i="7"/>
  <c r="H93" i="7"/>
  <c r="H109" i="7"/>
  <c r="J39" i="7"/>
  <c r="AF76" i="7"/>
  <c r="I39" i="7"/>
  <c r="J40" i="7"/>
  <c r="I40" i="7"/>
  <c r="S39" i="7"/>
  <c r="R39" i="7"/>
  <c r="S40" i="7"/>
  <c r="R40" i="7"/>
  <c r="AB39" i="7"/>
  <c r="AA39" i="7"/>
  <c r="AB40" i="7"/>
  <c r="AA40" i="7"/>
  <c r="H97" i="7"/>
  <c r="B111" i="7"/>
  <c r="H111" i="7" s="1"/>
  <c r="J44" i="7"/>
  <c r="J41" i="7"/>
  <c r="I44" i="7"/>
  <c r="I41" i="7"/>
  <c r="S44" i="7"/>
  <c r="S41" i="7"/>
  <c r="R44" i="7"/>
  <c r="R41" i="7"/>
  <c r="AB44" i="7"/>
  <c r="AB41" i="7"/>
  <c r="AA44" i="7"/>
  <c r="AA41" i="7"/>
  <c r="H101" i="7"/>
  <c r="H98" i="7"/>
  <c r="B112" i="7"/>
  <c r="H112" i="7" s="1"/>
  <c r="J35" i="6"/>
  <c r="E76" i="6"/>
  <c r="J76" i="6" s="1"/>
  <c r="I35" i="6"/>
  <c r="S35" i="6"/>
  <c r="N76" i="6"/>
  <c r="S76" i="6" s="1"/>
  <c r="R35" i="6"/>
  <c r="R78" i="6" s="1"/>
  <c r="R129" i="6" s="1"/>
  <c r="AB35" i="6"/>
  <c r="W76" i="6"/>
  <c r="AB76" i="6" s="1"/>
  <c r="AA35" i="6"/>
  <c r="Q154" i="6"/>
  <c r="Q156" i="6" s="1"/>
  <c r="J36" i="6"/>
  <c r="I36" i="6"/>
  <c r="S36" i="6"/>
  <c r="S79" i="6" s="1"/>
  <c r="R36" i="6"/>
  <c r="R79" i="6" s="1"/>
  <c r="R130" i="6" s="1"/>
  <c r="AB36" i="6"/>
  <c r="AA36" i="6"/>
  <c r="J37" i="6"/>
  <c r="I37" i="6"/>
  <c r="J38" i="6"/>
  <c r="I38" i="6" s="1"/>
  <c r="S37" i="6"/>
  <c r="S80" i="6" s="1"/>
  <c r="R37" i="6"/>
  <c r="S38" i="6"/>
  <c r="S81" i="6" s="1"/>
  <c r="AB37" i="6"/>
  <c r="AA37" i="6"/>
  <c r="AB38" i="6"/>
  <c r="AA38" i="6" s="1"/>
  <c r="J39" i="6"/>
  <c r="I39" i="6"/>
  <c r="J40" i="6"/>
  <c r="I40" i="6" s="1"/>
  <c r="H40" i="6" s="1"/>
  <c r="S39" i="6"/>
  <c r="S82" i="6" s="1"/>
  <c r="R39" i="6"/>
  <c r="R82" i="6" s="1"/>
  <c r="S40" i="6"/>
  <c r="AB39" i="6"/>
  <c r="AA39" i="6"/>
  <c r="AB40" i="6"/>
  <c r="J41" i="6"/>
  <c r="I41" i="6"/>
  <c r="S41" i="6"/>
  <c r="R41" i="6"/>
  <c r="R84" i="6" s="1"/>
  <c r="R133" i="6" s="1"/>
  <c r="AB41" i="6"/>
  <c r="AA41" i="6"/>
  <c r="J42" i="6"/>
  <c r="I42" i="6"/>
  <c r="S42" i="6"/>
  <c r="S85" i="6" s="1"/>
  <c r="R42" i="6"/>
  <c r="R85" i="6" s="1"/>
  <c r="R134" i="6" s="1"/>
  <c r="AB42" i="6"/>
  <c r="AA42" i="6"/>
  <c r="J43" i="6"/>
  <c r="E92" i="6"/>
  <c r="J92" i="6" s="1"/>
  <c r="I43" i="6"/>
  <c r="S43" i="6"/>
  <c r="S94" i="6" s="1"/>
  <c r="S139" i="6" s="1"/>
  <c r="AK12" i="6" s="1"/>
  <c r="N92" i="6"/>
  <c r="S92" i="6" s="1"/>
  <c r="R43" i="6"/>
  <c r="R94" i="6" s="1"/>
  <c r="R139" i="6" s="1"/>
  <c r="AB43" i="6"/>
  <c r="W92" i="6"/>
  <c r="AB92" i="6" s="1"/>
  <c r="AA43" i="6"/>
  <c r="J44" i="6"/>
  <c r="I44" i="6"/>
  <c r="J45" i="6"/>
  <c r="I45" i="6" s="1"/>
  <c r="S44" i="6"/>
  <c r="S95" i="6" s="1"/>
  <c r="R44" i="6"/>
  <c r="R95" i="6" s="1"/>
  <c r="S45" i="6"/>
  <c r="AB44" i="6"/>
  <c r="AA44" i="6"/>
  <c r="AB45" i="6"/>
  <c r="AA45" i="6" s="1"/>
  <c r="J46" i="6"/>
  <c r="I46" i="6"/>
  <c r="S46" i="6"/>
  <c r="R46" i="6"/>
  <c r="R97" i="6" s="1"/>
  <c r="R141" i="6" s="1"/>
  <c r="AB46" i="6"/>
  <c r="AA46" i="6"/>
  <c r="J47" i="6"/>
  <c r="I47" i="6"/>
  <c r="S47" i="6"/>
  <c r="R47" i="6"/>
  <c r="R98" i="6" s="1"/>
  <c r="R142" i="6" s="1"/>
  <c r="AB47" i="6"/>
  <c r="AA47" i="6"/>
  <c r="J50" i="6"/>
  <c r="AF103" i="6"/>
  <c r="I50" i="6"/>
  <c r="E145" i="6"/>
  <c r="J51" i="6"/>
  <c r="I51" i="6"/>
  <c r="E146" i="6"/>
  <c r="J52" i="6"/>
  <c r="AF106" i="6"/>
  <c r="E107" i="6"/>
  <c r="J107" i="6" s="1"/>
  <c r="I52" i="6"/>
  <c r="S52" i="6"/>
  <c r="N107" i="6"/>
  <c r="S107" i="6" s="1"/>
  <c r="R52" i="6"/>
  <c r="AB52" i="6"/>
  <c r="W107" i="6"/>
  <c r="AB107" i="6" s="1"/>
  <c r="AA52" i="6"/>
  <c r="E147" i="6"/>
  <c r="S56" i="6"/>
  <c r="AF112" i="6"/>
  <c r="R56" i="6"/>
  <c r="S57" i="6"/>
  <c r="AF113" i="6"/>
  <c r="R57" i="6"/>
  <c r="S58" i="6"/>
  <c r="AF114" i="6"/>
  <c r="E151" i="6"/>
  <c r="S59" i="6"/>
  <c r="AF115" i="6"/>
  <c r="R59" i="6"/>
  <c r="S60" i="6"/>
  <c r="AF116" i="6"/>
  <c r="R60" i="6"/>
  <c r="S61" i="6"/>
  <c r="R61" i="6" s="1"/>
  <c r="AF117" i="6"/>
  <c r="E152" i="6"/>
  <c r="Q13" i="20"/>
  <c r="L19" i="8"/>
  <c r="Q19" i="12"/>
  <c r="Q20" i="12"/>
  <c r="Q21" i="12"/>
  <c r="Q28" i="12"/>
  <c r="Q29" i="12"/>
  <c r="N13" i="20"/>
  <c r="N19" i="12"/>
  <c r="N20" i="12"/>
  <c r="N21" i="12"/>
  <c r="N28" i="12"/>
  <c r="N29" i="12"/>
  <c r="F30" i="3"/>
  <c r="F31" i="3"/>
  <c r="F32" i="3"/>
  <c r="F33" i="3"/>
  <c r="F34" i="3"/>
  <c r="N30" i="3"/>
  <c r="N31" i="3"/>
  <c r="N32" i="3"/>
  <c r="N33" i="3"/>
  <c r="N34" i="3"/>
  <c r="K30" i="3"/>
  <c r="K31" i="3"/>
  <c r="K32" i="3"/>
  <c r="K33" i="3"/>
  <c r="K34" i="3"/>
  <c r="R60" i="3"/>
  <c r="G30" i="5"/>
  <c r="G31" i="5"/>
  <c r="G35" i="5"/>
  <c r="G32" i="5"/>
  <c r="P30" i="5"/>
  <c r="P31" i="5"/>
  <c r="P35" i="5"/>
  <c r="P32" i="5"/>
  <c r="G36" i="5"/>
  <c r="G37" i="5"/>
  <c r="G38" i="5"/>
  <c r="G42" i="5"/>
  <c r="G39" i="5"/>
  <c r="G46" i="5"/>
  <c r="G43" i="5"/>
  <c r="G50" i="5"/>
  <c r="G47" i="5"/>
  <c r="P36" i="5"/>
  <c r="P37" i="5"/>
  <c r="P38" i="5"/>
  <c r="P42" i="5"/>
  <c r="P39" i="5"/>
  <c r="P46" i="5"/>
  <c r="P43" i="5"/>
  <c r="P50" i="5"/>
  <c r="P47" i="5"/>
  <c r="G64" i="5"/>
  <c r="G65" i="5"/>
  <c r="G66" i="5"/>
  <c r="G67" i="5"/>
  <c r="P54" i="5"/>
  <c r="P51" i="5"/>
  <c r="P58" i="5"/>
  <c r="P55" i="5"/>
  <c r="P62" i="5"/>
  <c r="P59" i="5"/>
  <c r="G30" i="7"/>
  <c r="G33" i="7"/>
  <c r="G31" i="7"/>
  <c r="P30" i="7"/>
  <c r="P33" i="7"/>
  <c r="P31" i="7"/>
  <c r="Y30" i="7"/>
  <c r="Y33" i="7"/>
  <c r="Y31" i="7"/>
  <c r="E91" i="7"/>
  <c r="F91" i="7"/>
  <c r="E88" i="7"/>
  <c r="F88" i="7"/>
  <c r="G34" i="7"/>
  <c r="P34" i="7"/>
  <c r="Y34" i="7"/>
  <c r="P114" i="7"/>
  <c r="G38" i="7"/>
  <c r="G35" i="7"/>
  <c r="P38" i="7"/>
  <c r="P35" i="7"/>
  <c r="Y38" i="7"/>
  <c r="Y35" i="7"/>
  <c r="E96" i="7"/>
  <c r="F96" i="7"/>
  <c r="E93" i="7"/>
  <c r="F93" i="7"/>
  <c r="G39" i="7"/>
  <c r="G40" i="7"/>
  <c r="P39" i="7"/>
  <c r="P40" i="7"/>
  <c r="Y39" i="7"/>
  <c r="Y40" i="7"/>
  <c r="E97" i="7"/>
  <c r="F97" i="7"/>
  <c r="G44" i="7"/>
  <c r="G41" i="7"/>
  <c r="P44" i="7"/>
  <c r="P41" i="7"/>
  <c r="Y44" i="7"/>
  <c r="Y41" i="7"/>
  <c r="E101" i="7"/>
  <c r="F101" i="7"/>
  <c r="E98" i="7"/>
  <c r="F98" i="7"/>
  <c r="G35" i="6"/>
  <c r="P35" i="6"/>
  <c r="P78" i="6" s="1"/>
  <c r="P129" i="6" s="1"/>
  <c r="Y35" i="6"/>
  <c r="P154" i="6"/>
  <c r="P155" i="6" s="1"/>
  <c r="G36" i="6"/>
  <c r="P36" i="6"/>
  <c r="P79" i="6" s="1"/>
  <c r="P130" i="6" s="1"/>
  <c r="AJ7" i="6" s="1"/>
  <c r="Y36" i="6"/>
  <c r="G37" i="6"/>
  <c r="G38" i="6"/>
  <c r="P37" i="6"/>
  <c r="P80" i="6" s="1"/>
  <c r="P38" i="6"/>
  <c r="P81" i="6" s="1"/>
  <c r="Y37" i="6"/>
  <c r="Y38" i="6"/>
  <c r="X38" i="6" s="1"/>
  <c r="G39" i="6"/>
  <c r="G40" i="6"/>
  <c r="P39" i="6"/>
  <c r="P82" i="6" s="1"/>
  <c r="P40" i="6"/>
  <c r="P83" i="6" s="1"/>
  <c r="Y39" i="6"/>
  <c r="Y40" i="6"/>
  <c r="X40" i="6" s="1"/>
  <c r="W40" i="6" s="1"/>
  <c r="G41" i="6"/>
  <c r="P41" i="6"/>
  <c r="P84" i="6" s="1"/>
  <c r="P133" i="6" s="1"/>
  <c r="AJ10" i="6" s="1"/>
  <c r="Y41" i="6"/>
  <c r="G42" i="6"/>
  <c r="P42" i="6"/>
  <c r="P85" i="6" s="1"/>
  <c r="P134" i="6" s="1"/>
  <c r="AJ11" i="6" s="1"/>
  <c r="Y42" i="6"/>
  <c r="G43" i="6"/>
  <c r="P43" i="6"/>
  <c r="P94" i="6" s="1"/>
  <c r="Y43" i="6"/>
  <c r="G44" i="6"/>
  <c r="G45" i="6"/>
  <c r="F45" i="6" s="1"/>
  <c r="P44" i="6"/>
  <c r="P95" i="6" s="1"/>
  <c r="P45" i="6"/>
  <c r="P96" i="6" s="1"/>
  <c r="Y44" i="6"/>
  <c r="Y45" i="6"/>
  <c r="G46" i="6"/>
  <c r="P46" i="6"/>
  <c r="P97" i="6" s="1"/>
  <c r="P141" i="6" s="1"/>
  <c r="AJ14" i="6" s="1"/>
  <c r="Y46" i="6"/>
  <c r="G47" i="6"/>
  <c r="P47" i="6"/>
  <c r="P98" i="6" s="1"/>
  <c r="P142" i="6" s="1"/>
  <c r="AJ15" i="6" s="1"/>
  <c r="Y47" i="6"/>
  <c r="G50" i="6"/>
  <c r="G51" i="6"/>
  <c r="G52" i="6"/>
  <c r="P52" i="6"/>
  <c r="Y52" i="6"/>
  <c r="P56" i="6"/>
  <c r="P57" i="6"/>
  <c r="P58" i="6"/>
  <c r="O58" i="6" s="1"/>
  <c r="N58" i="6" s="1"/>
  <c r="P59" i="6"/>
  <c r="P60" i="6"/>
  <c r="P61" i="6"/>
  <c r="O61" i="6" s="1"/>
  <c r="N61" i="6" s="1"/>
  <c r="F30" i="5"/>
  <c r="F31" i="5"/>
  <c r="F35" i="5"/>
  <c r="F32" i="5"/>
  <c r="O30" i="5"/>
  <c r="O31" i="5"/>
  <c r="O35" i="5"/>
  <c r="O32" i="5"/>
  <c r="F36" i="5"/>
  <c r="F37" i="5"/>
  <c r="F38" i="5"/>
  <c r="F42" i="5"/>
  <c r="F39" i="5"/>
  <c r="F46" i="5"/>
  <c r="F43" i="5"/>
  <c r="F50" i="5"/>
  <c r="F47" i="5"/>
  <c r="O36" i="5"/>
  <c r="O37" i="5"/>
  <c r="O38" i="5"/>
  <c r="O42" i="5"/>
  <c r="O39" i="5"/>
  <c r="O46" i="5"/>
  <c r="O43" i="5"/>
  <c r="O50" i="5"/>
  <c r="O47" i="5"/>
  <c r="F64" i="5"/>
  <c r="F65" i="5"/>
  <c r="F66" i="5"/>
  <c r="F67" i="5"/>
  <c r="O54" i="5"/>
  <c r="O51" i="5"/>
  <c r="O58" i="5"/>
  <c r="O55" i="5"/>
  <c r="O62" i="5"/>
  <c r="O59" i="5"/>
  <c r="F30" i="7"/>
  <c r="F33" i="7"/>
  <c r="E33" i="7" s="1"/>
  <c r="F31" i="7"/>
  <c r="O30" i="7"/>
  <c r="O33" i="7"/>
  <c r="O31" i="7"/>
  <c r="X30" i="7"/>
  <c r="X33" i="7"/>
  <c r="X31" i="7"/>
  <c r="F34" i="7"/>
  <c r="O34" i="7"/>
  <c r="X34" i="7"/>
  <c r="N114" i="7"/>
  <c r="F38" i="7"/>
  <c r="F35" i="7"/>
  <c r="O38" i="7"/>
  <c r="O35" i="7"/>
  <c r="X38" i="7"/>
  <c r="X35" i="7"/>
  <c r="F39" i="7"/>
  <c r="F40" i="7"/>
  <c r="O39" i="7"/>
  <c r="O40" i="7"/>
  <c r="X39" i="7"/>
  <c r="X40" i="7"/>
  <c r="F44" i="7"/>
  <c r="F41" i="7"/>
  <c r="O44" i="7"/>
  <c r="O41" i="7"/>
  <c r="X44" i="7"/>
  <c r="X41" i="7"/>
  <c r="F35" i="6"/>
  <c r="O35" i="6"/>
  <c r="O78" i="6" s="1"/>
  <c r="O129" i="6" s="1"/>
  <c r="X35" i="6"/>
  <c r="N154" i="6"/>
  <c r="N155" i="6" s="1"/>
  <c r="F36" i="6"/>
  <c r="O36" i="6"/>
  <c r="O79" i="6" s="1"/>
  <c r="O130" i="6" s="1"/>
  <c r="X36" i="6"/>
  <c r="F37" i="6"/>
  <c r="O37" i="6"/>
  <c r="O80" i="6" s="1"/>
  <c r="X37" i="6"/>
  <c r="W37" i="6" s="1"/>
  <c r="F39" i="6"/>
  <c r="O39" i="6"/>
  <c r="O82" i="6" s="1"/>
  <c r="X39" i="6"/>
  <c r="F41" i="6"/>
  <c r="O41" i="6"/>
  <c r="O84" i="6" s="1"/>
  <c r="O133" i="6" s="1"/>
  <c r="X41" i="6"/>
  <c r="F42" i="6"/>
  <c r="O42" i="6"/>
  <c r="O85" i="6" s="1"/>
  <c r="O134" i="6" s="1"/>
  <c r="X42" i="6"/>
  <c r="F43" i="6"/>
  <c r="O43" i="6"/>
  <c r="O94" i="6" s="1"/>
  <c r="O139" i="6" s="1"/>
  <c r="X43" i="6"/>
  <c r="F44" i="6"/>
  <c r="O44" i="6"/>
  <c r="O95" i="6" s="1"/>
  <c r="X44" i="6"/>
  <c r="F46" i="6"/>
  <c r="O46" i="6"/>
  <c r="O97" i="6" s="1"/>
  <c r="O141" i="6" s="1"/>
  <c r="X46" i="6"/>
  <c r="F47" i="6"/>
  <c r="O47" i="6"/>
  <c r="O98" i="6" s="1"/>
  <c r="O142" i="6" s="1"/>
  <c r="X47" i="6"/>
  <c r="F50" i="6"/>
  <c r="F51" i="6"/>
  <c r="F52" i="6"/>
  <c r="O52" i="6"/>
  <c r="X52" i="6"/>
  <c r="O56" i="6"/>
  <c r="O57" i="6"/>
  <c r="O59" i="6"/>
  <c r="O60" i="6"/>
  <c r="I91" i="7"/>
  <c r="I88" i="7"/>
  <c r="S114" i="7"/>
  <c r="I96" i="7"/>
  <c r="I93" i="7"/>
  <c r="I97" i="7"/>
  <c r="I101" i="7"/>
  <c r="I98" i="7"/>
  <c r="S154" i="6"/>
  <c r="S155" i="6" s="1"/>
  <c r="AD55" i="21"/>
  <c r="AG102" i="21"/>
  <c r="AD57" i="21"/>
  <c r="AH57" i="21" s="1"/>
  <c r="AG103" i="21"/>
  <c r="AD58" i="21"/>
  <c r="AG104" i="21"/>
  <c r="AG105" i="21"/>
  <c r="AD61" i="21"/>
  <c r="AG59" i="21"/>
  <c r="R114" i="7"/>
  <c r="R154" i="6"/>
  <c r="R155" i="6" s="1"/>
  <c r="AJ15" i="21"/>
  <c r="AH70" i="7"/>
  <c r="AG69" i="7"/>
  <c r="W107" i="7"/>
  <c r="D107" i="7"/>
  <c r="AH72" i="7"/>
  <c r="W109" i="7"/>
  <c r="D109" i="7"/>
  <c r="D111" i="7"/>
  <c r="AG76" i="7"/>
  <c r="AF79" i="7" s="1"/>
  <c r="AH77" i="7"/>
  <c r="D112" i="7"/>
  <c r="W112" i="7"/>
  <c r="AG113" i="6"/>
  <c r="O114" i="7"/>
  <c r="O154" i="6"/>
  <c r="O155" i="6" s="1"/>
  <c r="AG61" i="21"/>
  <c r="AF105" i="21"/>
  <c r="AF104" i="21"/>
  <c r="AF103" i="21"/>
  <c r="AF102" i="21"/>
  <c r="J103" i="21"/>
  <c r="J104" i="21"/>
  <c r="J105" i="21"/>
  <c r="T13" i="20"/>
  <c r="T19" i="12"/>
  <c r="T20" i="12"/>
  <c r="T21" i="12"/>
  <c r="T28" i="12"/>
  <c r="T29" i="12"/>
  <c r="H30" i="3"/>
  <c r="H31" i="3"/>
  <c r="H32" i="3"/>
  <c r="H33" i="3"/>
  <c r="H34" i="3"/>
  <c r="P30" i="3"/>
  <c r="P31" i="3"/>
  <c r="P32" i="3"/>
  <c r="P33" i="3"/>
  <c r="P34" i="3"/>
  <c r="M30" i="3"/>
  <c r="M31" i="3"/>
  <c r="M32" i="3"/>
  <c r="M33" i="3"/>
  <c r="M34" i="3"/>
  <c r="X60" i="3"/>
  <c r="M30" i="5"/>
  <c r="L30" i="5"/>
  <c r="M31" i="5"/>
  <c r="L31" i="5"/>
  <c r="M35" i="5"/>
  <c r="M32" i="5"/>
  <c r="L35" i="5"/>
  <c r="L32" i="5"/>
  <c r="V30" i="5"/>
  <c r="U30" i="5"/>
  <c r="V31" i="5"/>
  <c r="U31" i="5"/>
  <c r="V35" i="5"/>
  <c r="V32" i="5"/>
  <c r="U35" i="5"/>
  <c r="U32" i="5"/>
  <c r="M36" i="5"/>
  <c r="L36" i="5"/>
  <c r="M37" i="5"/>
  <c r="L37" i="5"/>
  <c r="M38" i="5"/>
  <c r="L38" i="5"/>
  <c r="M42" i="5"/>
  <c r="M39" i="5"/>
  <c r="L42" i="5"/>
  <c r="L39" i="5"/>
  <c r="M46" i="5"/>
  <c r="M43" i="5"/>
  <c r="L46" i="5"/>
  <c r="L43" i="5"/>
  <c r="M50" i="5"/>
  <c r="M47" i="5"/>
  <c r="L50" i="5"/>
  <c r="L47" i="5"/>
  <c r="V36" i="5"/>
  <c r="U36" i="5"/>
  <c r="V37" i="5"/>
  <c r="U37" i="5"/>
  <c r="V38" i="5"/>
  <c r="U38" i="5"/>
  <c r="V42" i="5"/>
  <c r="V39" i="5"/>
  <c r="U42" i="5"/>
  <c r="U39" i="5"/>
  <c r="V46" i="5"/>
  <c r="V43" i="5"/>
  <c r="U46" i="5"/>
  <c r="U43" i="5"/>
  <c r="V50" i="5"/>
  <c r="V47" i="5"/>
  <c r="U50" i="5"/>
  <c r="U47" i="5"/>
  <c r="M64" i="5"/>
  <c r="L64" i="5"/>
  <c r="M65" i="5"/>
  <c r="L65" i="5"/>
  <c r="M66" i="5"/>
  <c r="L66" i="5"/>
  <c r="M67" i="5"/>
  <c r="L67" i="5"/>
  <c r="V54" i="5"/>
  <c r="V51" i="5"/>
  <c r="U54" i="5"/>
  <c r="U51" i="5"/>
  <c r="V58" i="5"/>
  <c r="V55" i="5"/>
  <c r="U58" i="5"/>
  <c r="U55" i="5"/>
  <c r="V62" i="5"/>
  <c r="V59" i="5"/>
  <c r="U62" i="5"/>
  <c r="U59" i="5"/>
  <c r="M30" i="7"/>
  <c r="L30" i="7"/>
  <c r="M33" i="7"/>
  <c r="M31" i="7"/>
  <c r="L33" i="7"/>
  <c r="L31" i="7"/>
  <c r="V30" i="7"/>
  <c r="U30" i="7"/>
  <c r="V33" i="7"/>
  <c r="V31" i="7"/>
  <c r="U33" i="7"/>
  <c r="U31" i="7"/>
  <c r="AE30" i="7"/>
  <c r="AD30" i="7"/>
  <c r="AE33" i="7"/>
  <c r="AE31" i="7"/>
  <c r="AD33" i="7"/>
  <c r="AD31" i="7"/>
  <c r="K91" i="7"/>
  <c r="K88" i="7"/>
  <c r="M34" i="7"/>
  <c r="L34" i="7"/>
  <c r="V34" i="7"/>
  <c r="U34" i="7"/>
  <c r="AE34" i="7"/>
  <c r="AD34" i="7"/>
  <c r="T114" i="7"/>
  <c r="M38" i="7"/>
  <c r="M35" i="7"/>
  <c r="L38" i="7"/>
  <c r="L35" i="7"/>
  <c r="V38" i="7"/>
  <c r="V35" i="7"/>
  <c r="U38" i="7"/>
  <c r="U35" i="7"/>
  <c r="AE38" i="7"/>
  <c r="AE35" i="7"/>
  <c r="AD38" i="7"/>
  <c r="AD35" i="7"/>
  <c r="K96" i="7"/>
  <c r="K93" i="7"/>
  <c r="M39" i="7"/>
  <c r="L39" i="7"/>
  <c r="M40" i="7"/>
  <c r="L40" i="7"/>
  <c r="V39" i="7"/>
  <c r="U39" i="7"/>
  <c r="V40" i="7"/>
  <c r="U40" i="7"/>
  <c r="AE39" i="7"/>
  <c r="AD39" i="7"/>
  <c r="AE40" i="7"/>
  <c r="AD40" i="7"/>
  <c r="K97" i="7"/>
  <c r="M44" i="7"/>
  <c r="M41" i="7"/>
  <c r="L44" i="7"/>
  <c r="L41" i="7"/>
  <c r="V44" i="7"/>
  <c r="V41" i="7"/>
  <c r="U44" i="7"/>
  <c r="U41" i="7"/>
  <c r="AE44" i="7"/>
  <c r="AE41" i="7"/>
  <c r="AD44" i="7"/>
  <c r="AD41" i="7"/>
  <c r="K101" i="7"/>
  <c r="K98" i="7"/>
  <c r="M35" i="6"/>
  <c r="L35" i="6"/>
  <c r="V35" i="6"/>
  <c r="V78" i="6" s="1"/>
  <c r="U35" i="6"/>
  <c r="U78" i="6" s="1"/>
  <c r="U129" i="6" s="1"/>
  <c r="AE35" i="6"/>
  <c r="AD35" i="6"/>
  <c r="T154" i="6"/>
  <c r="M36" i="6"/>
  <c r="L36" i="6"/>
  <c r="V36" i="6"/>
  <c r="V79" i="6" s="1"/>
  <c r="V130" i="6" s="1"/>
  <c r="AL7" i="6" s="1"/>
  <c r="U36" i="6"/>
  <c r="U79" i="6" s="1"/>
  <c r="U130" i="6" s="1"/>
  <c r="AE36" i="6"/>
  <c r="AD36" i="6"/>
  <c r="M37" i="6"/>
  <c r="L37" i="6"/>
  <c r="M38" i="6"/>
  <c r="V37" i="6"/>
  <c r="V80" i="6" s="1"/>
  <c r="U37" i="6"/>
  <c r="U80" i="6" s="1"/>
  <c r="V38" i="6"/>
  <c r="AE37" i="6"/>
  <c r="AD37" i="6"/>
  <c r="AE38" i="6"/>
  <c r="M39" i="6"/>
  <c r="L39" i="6"/>
  <c r="M40" i="6"/>
  <c r="V39" i="6"/>
  <c r="V82" i="6" s="1"/>
  <c r="U39" i="6"/>
  <c r="V40" i="6"/>
  <c r="V83" i="6" s="1"/>
  <c r="AE39" i="6"/>
  <c r="AD39" i="6"/>
  <c r="AE40" i="6"/>
  <c r="M41" i="6"/>
  <c r="L41" i="6"/>
  <c r="V41" i="6"/>
  <c r="V84" i="6" s="1"/>
  <c r="V133" i="6" s="1"/>
  <c r="AL10" i="6" s="1"/>
  <c r="U41" i="6"/>
  <c r="U84" i="6" s="1"/>
  <c r="U133" i="6" s="1"/>
  <c r="AE41" i="6"/>
  <c r="AD41" i="6"/>
  <c r="M42" i="6"/>
  <c r="L42" i="6"/>
  <c r="V42" i="6"/>
  <c r="V85" i="6" s="1"/>
  <c r="V134" i="6" s="1"/>
  <c r="AL11" i="6" s="1"/>
  <c r="U42" i="6"/>
  <c r="U85" i="6" s="1"/>
  <c r="U134" i="6" s="1"/>
  <c r="AE42" i="6"/>
  <c r="AD42" i="6"/>
  <c r="M43" i="6"/>
  <c r="L43" i="6"/>
  <c r="V43" i="6"/>
  <c r="V94" i="6" s="1"/>
  <c r="V139" i="6" s="1"/>
  <c r="AL12" i="6" s="1"/>
  <c r="U43" i="6"/>
  <c r="U94" i="6" s="1"/>
  <c r="U139" i="6" s="1"/>
  <c r="AE43" i="6"/>
  <c r="AD43" i="6"/>
  <c r="M44" i="6"/>
  <c r="L44" i="6"/>
  <c r="M45" i="6"/>
  <c r="V44" i="6"/>
  <c r="U44" i="6"/>
  <c r="U95" i="6" s="1"/>
  <c r="V45" i="6"/>
  <c r="AE44" i="6"/>
  <c r="AD44" i="6"/>
  <c r="AE45" i="6"/>
  <c r="M46" i="6"/>
  <c r="L46" i="6"/>
  <c r="V46" i="6"/>
  <c r="U46" i="6"/>
  <c r="U97" i="6" s="1"/>
  <c r="U141" i="6" s="1"/>
  <c r="AE46" i="6"/>
  <c r="AD46" i="6"/>
  <c r="M47" i="6"/>
  <c r="L47" i="6"/>
  <c r="V47" i="6"/>
  <c r="U47" i="6"/>
  <c r="U98" i="6" s="1"/>
  <c r="U142" i="6" s="1"/>
  <c r="AE47" i="6"/>
  <c r="AD47" i="6"/>
  <c r="M50" i="6"/>
  <c r="L50" i="6"/>
  <c r="M51" i="6"/>
  <c r="L51" i="6"/>
  <c r="M52" i="6"/>
  <c r="L52" i="6"/>
  <c r="V52" i="6"/>
  <c r="U52" i="6"/>
  <c r="AE52" i="6"/>
  <c r="AD52" i="6"/>
  <c r="V56" i="6"/>
  <c r="U56" i="6"/>
  <c r="V57" i="6"/>
  <c r="U57" i="6"/>
  <c r="V58" i="6"/>
  <c r="U58" i="6" s="1"/>
  <c r="T58" i="6" s="1"/>
  <c r="V59" i="6"/>
  <c r="U59" i="6"/>
  <c r="V60" i="6"/>
  <c r="U60" i="6"/>
  <c r="V61" i="6"/>
  <c r="U61" i="6" s="1"/>
  <c r="T61" i="6" s="1"/>
  <c r="AN48" i="1"/>
  <c r="AN49" i="1"/>
  <c r="H50" i="15"/>
  <c r="AU64" i="1"/>
  <c r="AA51" i="15"/>
  <c r="AB51" i="15"/>
  <c r="H55" i="15"/>
  <c r="F56" i="15"/>
  <c r="F44" i="19"/>
  <c r="AR84" i="1" s="1"/>
  <c r="L84" i="1" s="1"/>
  <c r="F45" i="19"/>
  <c r="AR85" i="1" s="1"/>
  <c r="L85" i="1" s="1"/>
  <c r="F46" i="19"/>
  <c r="AR86" i="1" s="1"/>
  <c r="L86" i="1" s="1"/>
  <c r="F60" i="19"/>
  <c r="AR107" i="1" s="1"/>
  <c r="L107" i="1" s="1"/>
  <c r="G65" i="15" s="1"/>
  <c r="F61" i="19"/>
  <c r="AR108" i="1" s="1"/>
  <c r="L108" i="1" s="1"/>
  <c r="G66" i="15" s="1"/>
  <c r="H78" i="15"/>
  <c r="F60" i="15"/>
  <c r="F57" i="15"/>
  <c r="F58" i="15"/>
  <c r="F59" i="15"/>
  <c r="H44" i="15"/>
  <c r="H45" i="15"/>
  <c r="H46" i="15"/>
  <c r="H57" i="15"/>
  <c r="H58" i="15"/>
  <c r="H59" i="15"/>
  <c r="H60" i="15"/>
  <c r="H65" i="15"/>
  <c r="H66" i="15"/>
  <c r="H67" i="15"/>
  <c r="H79" i="15"/>
  <c r="H35" i="15"/>
  <c r="AR55" i="1"/>
  <c r="H34" i="15"/>
  <c r="J37" i="1"/>
  <c r="E154" i="6"/>
  <c r="E155" i="6"/>
  <c r="V154" i="6"/>
  <c r="V155" i="6" s="1"/>
  <c r="U154" i="6"/>
  <c r="E157" i="6"/>
  <c r="E156" i="6"/>
  <c r="J17" i="18"/>
  <c r="AI87" i="17"/>
  <c r="AP87" i="17" s="1"/>
  <c r="AH87" i="17"/>
  <c r="AO87" i="17" s="1"/>
  <c r="AG87" i="17"/>
  <c r="AN87" i="17" s="1"/>
  <c r="AI86" i="17"/>
  <c r="AP86" i="17" s="1"/>
  <c r="AH86" i="17"/>
  <c r="AO86" i="17" s="1"/>
  <c r="AG86" i="17"/>
  <c r="AN86" i="17" s="1"/>
  <c r="AI85" i="17"/>
  <c r="AP85" i="17" s="1"/>
  <c r="AH85" i="17"/>
  <c r="AO85" i="17" s="1"/>
  <c r="AG85" i="17"/>
  <c r="AI84" i="17"/>
  <c r="AP84" i="17" s="1"/>
  <c r="AH84" i="17"/>
  <c r="AO84" i="17" s="1"/>
  <c r="AG84" i="17"/>
  <c r="AN84" i="17" s="1"/>
  <c r="AI83" i="17"/>
  <c r="AP83" i="17" s="1"/>
  <c r="AH83" i="17"/>
  <c r="AO83" i="17" s="1"/>
  <c r="AG83" i="17"/>
  <c r="AN83" i="17" s="1"/>
  <c r="AI82" i="17"/>
  <c r="AP82" i="17" s="1"/>
  <c r="AH82" i="17"/>
  <c r="AO82" i="17" s="1"/>
  <c r="AG82" i="17"/>
  <c r="AN82" i="17" s="1"/>
  <c r="AI81" i="17"/>
  <c r="AP81" i="17" s="1"/>
  <c r="AH81" i="17"/>
  <c r="AO81" i="17" s="1"/>
  <c r="AG81" i="17"/>
  <c r="AN81" i="17" s="1"/>
  <c r="AI80" i="17"/>
  <c r="AP80" i="17" s="1"/>
  <c r="AH80" i="17"/>
  <c r="AO80" i="17" s="1"/>
  <c r="AG80" i="17"/>
  <c r="AN80" i="17" s="1"/>
  <c r="AI79" i="17"/>
  <c r="AP79" i="17" s="1"/>
  <c r="AH79" i="17"/>
  <c r="AO79" i="17" s="1"/>
  <c r="AG79" i="17"/>
  <c r="AN79" i="17" s="1"/>
  <c r="AI78" i="17"/>
  <c r="AP78" i="17" s="1"/>
  <c r="AH78" i="17"/>
  <c r="AG78" i="17"/>
  <c r="AN78" i="17" s="1"/>
  <c r="AI77" i="17"/>
  <c r="AP77" i="17" s="1"/>
  <c r="AH77" i="17"/>
  <c r="AO77" i="17" s="1"/>
  <c r="AG77" i="17"/>
  <c r="AN77" i="17" s="1"/>
  <c r="AI76" i="17"/>
  <c r="AP76" i="17" s="1"/>
  <c r="AH76" i="17"/>
  <c r="AO76" i="17" s="1"/>
  <c r="AG76" i="17"/>
  <c r="AN76" i="17" s="1"/>
  <c r="AI75" i="17"/>
  <c r="AP75" i="17" s="1"/>
  <c r="AH75" i="17"/>
  <c r="AO75" i="17" s="1"/>
  <c r="AG75" i="17"/>
  <c r="AN75" i="17" s="1"/>
  <c r="AI74" i="17"/>
  <c r="AP74" i="17" s="1"/>
  <c r="AH74" i="17"/>
  <c r="AO74" i="17" s="1"/>
  <c r="AG74" i="17"/>
  <c r="AF72" i="17"/>
  <c r="AV20" i="17"/>
  <c r="AW20" i="17"/>
  <c r="AQ20" i="17"/>
  <c r="AR20" i="17"/>
  <c r="AL56" i="17"/>
  <c r="AM20" i="17"/>
  <c r="AL20" i="17"/>
  <c r="O60" i="17"/>
  <c r="D60" i="17"/>
  <c r="L29" i="12"/>
  <c r="L28" i="12"/>
  <c r="L21" i="12"/>
  <c r="L20" i="12"/>
  <c r="L19" i="12"/>
  <c r="H114" i="7"/>
  <c r="D10" i="14"/>
  <c r="D5" i="14"/>
  <c r="J37" i="15"/>
  <c r="J31" i="15"/>
  <c r="L91" i="7"/>
  <c r="L88" i="7"/>
  <c r="B186" i="1"/>
  <c r="B185" i="1"/>
  <c r="B49" i="1"/>
  <c r="AF84" i="17"/>
  <c r="AF83" i="17"/>
  <c r="AF82" i="17"/>
  <c r="AF81" i="17"/>
  <c r="AF80" i="17"/>
  <c r="AF79" i="17"/>
  <c r="AF78" i="17"/>
  <c r="AF77" i="17"/>
  <c r="AF76" i="17"/>
  <c r="AF75" i="17"/>
  <c r="AF74" i="17"/>
  <c r="AG71" i="17" s="1"/>
  <c r="AE32" i="18"/>
  <c r="AO33" i="18"/>
  <c r="AB41" i="18"/>
  <c r="BG5" i="18"/>
  <c r="AJ40" i="18"/>
  <c r="AJ41" i="18"/>
  <c r="AK41" i="18"/>
  <c r="AJ42" i="18"/>
  <c r="AJ43" i="18"/>
  <c r="AJ44" i="18"/>
  <c r="AJ45" i="18"/>
  <c r="AJ46" i="18"/>
  <c r="AJ47" i="18"/>
  <c r="AJ48" i="18"/>
  <c r="AJ49" i="18"/>
  <c r="AJ50" i="18"/>
  <c r="AJ51" i="18"/>
  <c r="AJ52" i="18"/>
  <c r="AJ53" i="18"/>
  <c r="AJ54" i="18"/>
  <c r="AJ55" i="18"/>
  <c r="AJ56" i="18"/>
  <c r="AJ57" i="18"/>
  <c r="AJ58" i="18"/>
  <c r="AJ59" i="18"/>
  <c r="AJ60" i="18"/>
  <c r="AG46" i="18"/>
  <c r="AH46" i="18"/>
  <c r="AA73" i="18"/>
  <c r="AI73" i="18"/>
  <c r="AA74" i="18"/>
  <c r="AI74" i="18"/>
  <c r="AA75" i="18"/>
  <c r="AI75" i="18"/>
  <c r="AA77" i="18"/>
  <c r="AI77" i="18"/>
  <c r="AA78" i="18"/>
  <c r="AI78" i="18"/>
  <c r="AA80" i="18"/>
  <c r="AI80" i="18"/>
  <c r="AA81" i="18"/>
  <c r="AI81" i="18"/>
  <c r="AA82" i="18"/>
  <c r="AI82" i="18"/>
  <c r="AA83" i="18"/>
  <c r="AI83" i="18"/>
  <c r="AA85" i="18"/>
  <c r="AI85" i="18"/>
  <c r="AA86" i="18"/>
  <c r="AI86" i="18"/>
  <c r="AA87" i="18"/>
  <c r="AI87" i="18"/>
  <c r="AA89" i="18"/>
  <c r="AI89" i="18"/>
  <c r="AA90" i="18"/>
  <c r="AI90" i="18"/>
  <c r="AA91" i="18"/>
  <c r="AI91" i="18"/>
  <c r="AA93" i="18"/>
  <c r="AI93" i="18"/>
  <c r="AA94" i="18"/>
  <c r="AI94" i="18"/>
  <c r="AA95" i="18"/>
  <c r="AI95" i="18"/>
  <c r="AA97" i="18"/>
  <c r="AI97" i="18"/>
  <c r="AA98" i="18"/>
  <c r="AI98" i="18"/>
  <c r="AA99" i="18"/>
  <c r="AI99" i="18"/>
  <c r="AA102" i="18"/>
  <c r="AI102" i="18"/>
  <c r="AA103" i="18"/>
  <c r="AI103" i="18"/>
  <c r="AA105" i="18"/>
  <c r="AI105" i="18"/>
  <c r="AA106" i="18"/>
  <c r="AI106" i="18"/>
  <c r="AA107" i="18"/>
  <c r="AI107" i="18"/>
  <c r="AA108" i="18"/>
  <c r="AI108" i="18"/>
  <c r="AA109" i="18"/>
  <c r="AI109" i="18"/>
  <c r="AA115" i="18"/>
  <c r="AI115" i="18"/>
  <c r="AA116" i="18"/>
  <c r="AI116" i="18"/>
  <c r="AA117" i="18"/>
  <c r="AI117" i="18"/>
  <c r="AA118" i="18"/>
  <c r="AI118" i="18"/>
  <c r="AA120" i="18"/>
  <c r="AI120" i="18"/>
  <c r="AA121" i="18"/>
  <c r="AI121" i="18"/>
  <c r="AA122" i="18"/>
  <c r="AI122" i="18"/>
  <c r="AA123" i="18"/>
  <c r="AI123" i="18"/>
  <c r="AA131" i="18"/>
  <c r="AI131" i="18"/>
  <c r="AA132" i="18"/>
  <c r="AI132" i="18"/>
  <c r="AA133" i="18"/>
  <c r="AI133" i="18"/>
  <c r="AA134" i="18"/>
  <c r="AI134" i="18"/>
  <c r="AA136" i="18"/>
  <c r="AI136" i="18"/>
  <c r="I31" i="18"/>
  <c r="AC41" i="18"/>
  <c r="AD41" i="18"/>
  <c r="K42" i="3"/>
  <c r="K43" i="3"/>
  <c r="N43" i="3" s="1"/>
  <c r="K44" i="3"/>
  <c r="K45" i="3"/>
  <c r="N45" i="3" s="1"/>
  <c r="K41" i="3"/>
  <c r="F41" i="3"/>
  <c r="G41" i="3" s="1"/>
  <c r="F42" i="3"/>
  <c r="G42" i="3" s="1"/>
  <c r="F43" i="3"/>
  <c r="G43" i="3" s="1"/>
  <c r="F44" i="3"/>
  <c r="F45" i="3"/>
  <c r="H59" i="3"/>
  <c r="AB21" i="14"/>
  <c r="AJ11" i="17"/>
  <c r="AD38" i="17"/>
  <c r="AY87" i="17"/>
  <c r="BA74" i="17"/>
  <c r="AD21" i="14"/>
  <c r="AL11" i="17"/>
  <c r="AF38" i="17"/>
  <c r="BA87" i="17"/>
  <c r="AD11" i="17"/>
  <c r="AZ74" i="17"/>
  <c r="AC21" i="14"/>
  <c r="AK11" i="17"/>
  <c r="AE38" i="17"/>
  <c r="AZ87" i="17"/>
  <c r="AC11" i="17"/>
  <c r="N58" i="17"/>
  <c r="N57" i="17"/>
  <c r="N56" i="17"/>
  <c r="N55" i="17"/>
  <c r="N54" i="17"/>
  <c r="N53" i="17"/>
  <c r="N52" i="17"/>
  <c r="N51" i="17"/>
  <c r="AJ12" i="17"/>
  <c r="AK12" i="17"/>
  <c r="AL12" i="17"/>
  <c r="AJ13" i="17"/>
  <c r="AK13" i="17"/>
  <c r="AL13" i="17"/>
  <c r="AJ14" i="17"/>
  <c r="AK14" i="17"/>
  <c r="AL14" i="17"/>
  <c r="BA82" i="17"/>
  <c r="AS107" i="17"/>
  <c r="AT107" i="17" s="1"/>
  <c r="AZ82" i="17"/>
  <c r="C112" i="5"/>
  <c r="C116" i="5"/>
  <c r="C117" i="5" s="1"/>
  <c r="C119" i="5"/>
  <c r="C121" i="5" s="1"/>
  <c r="AG116" i="6"/>
  <c r="U114" i="7"/>
  <c r="L96" i="7"/>
  <c r="L93" i="7"/>
  <c r="L97" i="7"/>
  <c r="L101" i="7"/>
  <c r="L98" i="7"/>
  <c r="AA82" i="15"/>
  <c r="H28" i="15"/>
  <c r="H29" i="15"/>
  <c r="H30" i="15"/>
  <c r="AG44" i="2"/>
  <c r="AG49" i="2"/>
  <c r="AG46" i="2"/>
  <c r="AG47" i="2"/>
  <c r="AG48" i="2"/>
  <c r="AG41" i="2"/>
  <c r="AG42" i="2"/>
  <c r="AG43" i="2"/>
  <c r="AG59" i="2"/>
  <c r="AG57" i="2"/>
  <c r="AG58" i="2"/>
  <c r="AG52" i="2"/>
  <c r="AG53" i="2"/>
  <c r="AG54" i="2"/>
  <c r="AG55" i="2"/>
  <c r="AG61" i="2"/>
  <c r="L17" i="8"/>
  <c r="N6" i="8" s="1"/>
  <c r="L18" i="8"/>
  <c r="L20" i="8"/>
  <c r="T9" i="8" s="1"/>
  <c r="D72" i="2"/>
  <c r="D71" i="2"/>
  <c r="D70" i="2"/>
  <c r="AB73" i="18"/>
  <c r="AF73" i="18" s="1"/>
  <c r="AJ73" i="18"/>
  <c r="AB74" i="18"/>
  <c r="AF74" i="18" s="1"/>
  <c r="AJ74" i="18"/>
  <c r="AB75" i="18"/>
  <c r="AF75" i="18" s="1"/>
  <c r="AJ75" i="18"/>
  <c r="AB77" i="18"/>
  <c r="AF77" i="18" s="1"/>
  <c r="AJ77" i="18"/>
  <c r="AB78" i="18"/>
  <c r="AF78" i="18" s="1"/>
  <c r="AJ78" i="18"/>
  <c r="AB80" i="18"/>
  <c r="AF80" i="18" s="1"/>
  <c r="AJ80" i="18"/>
  <c r="AB81" i="18"/>
  <c r="AF81" i="18" s="1"/>
  <c r="AJ81" i="18"/>
  <c r="AB82" i="18"/>
  <c r="AF82" i="18" s="1"/>
  <c r="AJ82" i="18"/>
  <c r="AB83" i="18"/>
  <c r="AF83" i="18" s="1"/>
  <c r="AJ83" i="18"/>
  <c r="AB85" i="18"/>
  <c r="AF85" i="18" s="1"/>
  <c r="AJ85" i="18"/>
  <c r="AB86" i="18"/>
  <c r="AF86" i="18" s="1"/>
  <c r="AJ86" i="18"/>
  <c r="AB87" i="18"/>
  <c r="AF87" i="18" s="1"/>
  <c r="AJ87" i="18"/>
  <c r="AB89" i="18"/>
  <c r="AF89" i="18" s="1"/>
  <c r="AJ89" i="18"/>
  <c r="AB90" i="18"/>
  <c r="AF90" i="18" s="1"/>
  <c r="AJ90" i="18"/>
  <c r="AB91" i="18"/>
  <c r="AF91" i="18" s="1"/>
  <c r="AJ91" i="18"/>
  <c r="AB93" i="18"/>
  <c r="AF93" i="18" s="1"/>
  <c r="AJ93" i="18"/>
  <c r="AB94" i="18"/>
  <c r="AF94" i="18" s="1"/>
  <c r="AJ94" i="18"/>
  <c r="AB95" i="18"/>
  <c r="AF95" i="18" s="1"/>
  <c r="AJ95" i="18"/>
  <c r="AB97" i="18"/>
  <c r="AF97" i="18" s="1"/>
  <c r="AJ97" i="18"/>
  <c r="AB98" i="18"/>
  <c r="AF98" i="18" s="1"/>
  <c r="AJ98" i="18"/>
  <c r="AB99" i="18"/>
  <c r="AF99" i="18" s="1"/>
  <c r="AJ99" i="18"/>
  <c r="AB102" i="18"/>
  <c r="AF102" i="18" s="1"/>
  <c r="AJ102" i="18"/>
  <c r="AB103" i="18"/>
  <c r="AF103" i="18" s="1"/>
  <c r="AJ103" i="18"/>
  <c r="AB105" i="18"/>
  <c r="AF105" i="18" s="1"/>
  <c r="AJ105" i="18"/>
  <c r="AB106" i="18"/>
  <c r="AF106" i="18" s="1"/>
  <c r="AJ106" i="18"/>
  <c r="AB107" i="18"/>
  <c r="AF107" i="18" s="1"/>
  <c r="AJ107" i="18"/>
  <c r="AB108" i="18"/>
  <c r="AF108" i="18" s="1"/>
  <c r="AJ108" i="18"/>
  <c r="AB109" i="18"/>
  <c r="AF109" i="18" s="1"/>
  <c r="AJ109" i="18"/>
  <c r="AB115" i="18"/>
  <c r="AF115" i="18" s="1"/>
  <c r="AJ115" i="18"/>
  <c r="AB116" i="18"/>
  <c r="AF116" i="18" s="1"/>
  <c r="AJ116" i="18"/>
  <c r="AB117" i="18"/>
  <c r="AF117" i="18" s="1"/>
  <c r="AJ117" i="18"/>
  <c r="AB118" i="18"/>
  <c r="AF118" i="18" s="1"/>
  <c r="AJ118" i="18"/>
  <c r="AB120" i="18"/>
  <c r="AF120" i="18" s="1"/>
  <c r="AJ120" i="18"/>
  <c r="AB121" i="18"/>
  <c r="AF121" i="18" s="1"/>
  <c r="AJ121" i="18"/>
  <c r="AB122" i="18"/>
  <c r="AF122" i="18" s="1"/>
  <c r="AJ122" i="18"/>
  <c r="AB123" i="18"/>
  <c r="AF123" i="18" s="1"/>
  <c r="AJ123" i="18"/>
  <c r="AB131" i="18"/>
  <c r="AF131" i="18" s="1"/>
  <c r="AJ131" i="18"/>
  <c r="AB132" i="18"/>
  <c r="AF132" i="18" s="1"/>
  <c r="AJ132" i="18"/>
  <c r="AB133" i="18"/>
  <c r="AF133" i="18" s="1"/>
  <c r="AJ133" i="18"/>
  <c r="AB134" i="18"/>
  <c r="AF134" i="18" s="1"/>
  <c r="AJ134" i="18"/>
  <c r="AB136" i="18"/>
  <c r="AF136" i="18" s="1"/>
  <c r="AJ136" i="18"/>
  <c r="AC89" i="18"/>
  <c r="AG89" i="18" s="1"/>
  <c r="AK89" i="18"/>
  <c r="AC90" i="18"/>
  <c r="AG90" i="18" s="1"/>
  <c r="AK90" i="18"/>
  <c r="AC91" i="18"/>
  <c r="AG91" i="18" s="1"/>
  <c r="AK91" i="18"/>
  <c r="AK60" i="18"/>
  <c r="AL60" i="18"/>
  <c r="AM60" i="18"/>
  <c r="AN60" i="18"/>
  <c r="AQ125" i="19"/>
  <c r="AA20" i="17"/>
  <c r="AB20" i="17"/>
  <c r="AE22" i="17"/>
  <c r="AB11" i="17"/>
  <c r="AA56" i="17"/>
  <c r="AB56" i="17"/>
  <c r="AY82" i="17"/>
  <c r="C32" i="2"/>
  <c r="L244" i="1"/>
  <c r="L13" i="20"/>
  <c r="V114" i="7"/>
  <c r="AQ55" i="1"/>
  <c r="G60" i="19"/>
  <c r="AS107" i="1" s="1"/>
  <c r="G61" i="19"/>
  <c r="AS108" i="1" s="1"/>
  <c r="E61" i="19"/>
  <c r="E60" i="19"/>
  <c r="AQ107" i="1" s="1"/>
  <c r="G44" i="19"/>
  <c r="AS84" i="1" s="1"/>
  <c r="G45" i="19"/>
  <c r="AS85" i="1" s="1"/>
  <c r="G46" i="19"/>
  <c r="AS86" i="1" s="1"/>
  <c r="E44" i="19"/>
  <c r="AQ84" i="1" s="1"/>
  <c r="E46" i="19"/>
  <c r="AQ86" i="1" s="1"/>
  <c r="E45" i="19"/>
  <c r="AQ85" i="1" s="1"/>
  <c r="AF156" i="1"/>
  <c r="B3" i="17"/>
  <c r="M16" i="17"/>
  <c r="B16" i="17"/>
  <c r="AY83" i="17"/>
  <c r="AZ83" i="17"/>
  <c r="BA83" i="17"/>
  <c r="AY84" i="17"/>
  <c r="AZ84" i="17"/>
  <c r="BA84" i="17"/>
  <c r="AY85" i="17"/>
  <c r="AZ85" i="17"/>
  <c r="BA85" i="17"/>
  <c r="AY86" i="17"/>
  <c r="AZ86" i="17"/>
  <c r="BA86" i="17"/>
  <c r="AY74" i="17"/>
  <c r="BC72" i="17"/>
  <c r="BC71" i="17"/>
  <c r="BA76" i="17"/>
  <c r="AZ76" i="17"/>
  <c r="AY76" i="17"/>
  <c r="BA78" i="17"/>
  <c r="AZ78" i="17"/>
  <c r="AY78" i="17"/>
  <c r="C58" i="17"/>
  <c r="C57" i="17"/>
  <c r="C56" i="17"/>
  <c r="C55" i="17"/>
  <c r="C54" i="17"/>
  <c r="C53" i="17"/>
  <c r="AQ72" i="1"/>
  <c r="AS87" i="1"/>
  <c r="AS109" i="1"/>
  <c r="AK136" i="18"/>
  <c r="AC136" i="18"/>
  <c r="AG136" i="18" s="1"/>
  <c r="AC134" i="18"/>
  <c r="AG134" i="18" s="1"/>
  <c r="AK134" i="18"/>
  <c r="AC131" i="18"/>
  <c r="AG131" i="18" s="1"/>
  <c r="AK131" i="18"/>
  <c r="AC132" i="18"/>
  <c r="AG132" i="18" s="1"/>
  <c r="AK132" i="18"/>
  <c r="AC133" i="18"/>
  <c r="AG133" i="18" s="1"/>
  <c r="AK133" i="18"/>
  <c r="AC73" i="18"/>
  <c r="AG73" i="18" s="1"/>
  <c r="AK73" i="18"/>
  <c r="AC74" i="18"/>
  <c r="AG74" i="18" s="1"/>
  <c r="AK74" i="18"/>
  <c r="AC75" i="18"/>
  <c r="AG75" i="18" s="1"/>
  <c r="AK75" i="18"/>
  <c r="AC77" i="18"/>
  <c r="AG77" i="18" s="1"/>
  <c r="AK77" i="18"/>
  <c r="AC78" i="18"/>
  <c r="AG78" i="18" s="1"/>
  <c r="AK78" i="18"/>
  <c r="AC80" i="18"/>
  <c r="AG80" i="18" s="1"/>
  <c r="AK80" i="18"/>
  <c r="AC81" i="18"/>
  <c r="AG81" i="18" s="1"/>
  <c r="AK81" i="18"/>
  <c r="AC82" i="18"/>
  <c r="AG82" i="18" s="1"/>
  <c r="AK82" i="18"/>
  <c r="AC83" i="18"/>
  <c r="AG83" i="18" s="1"/>
  <c r="AK83" i="18"/>
  <c r="AC85" i="18"/>
  <c r="AG85" i="18" s="1"/>
  <c r="AK85" i="18"/>
  <c r="AC86" i="18"/>
  <c r="AG86" i="18" s="1"/>
  <c r="AK86" i="18"/>
  <c r="AC87" i="18"/>
  <c r="AG87" i="18" s="1"/>
  <c r="AK87" i="18"/>
  <c r="AC93" i="18"/>
  <c r="AG93" i="18" s="1"/>
  <c r="AK93" i="18"/>
  <c r="AC94" i="18"/>
  <c r="AG94" i="18" s="1"/>
  <c r="AK94" i="18"/>
  <c r="AC95" i="18"/>
  <c r="AG95" i="18" s="1"/>
  <c r="AK95" i="18"/>
  <c r="AC97" i="18"/>
  <c r="AG97" i="18" s="1"/>
  <c r="AK97" i="18"/>
  <c r="AC98" i="18"/>
  <c r="AG98" i="18" s="1"/>
  <c r="AK98" i="18"/>
  <c r="AC99" i="18"/>
  <c r="AG99" i="18" s="1"/>
  <c r="AK99" i="18"/>
  <c r="AC102" i="18"/>
  <c r="AG102" i="18" s="1"/>
  <c r="AK102" i="18"/>
  <c r="AC103" i="18"/>
  <c r="AG103" i="18" s="1"/>
  <c r="AK103" i="18"/>
  <c r="AC105" i="18"/>
  <c r="AG105" i="18" s="1"/>
  <c r="AK105" i="18"/>
  <c r="AC106" i="18"/>
  <c r="AG106" i="18" s="1"/>
  <c r="AK106" i="18"/>
  <c r="AC107" i="18"/>
  <c r="AG107" i="18" s="1"/>
  <c r="AK107" i="18"/>
  <c r="AC108" i="18"/>
  <c r="AG108" i="18" s="1"/>
  <c r="AK108" i="18"/>
  <c r="AC109" i="18"/>
  <c r="AG109" i="18" s="1"/>
  <c r="AK109" i="18"/>
  <c r="AC115" i="18"/>
  <c r="AG115" i="18" s="1"/>
  <c r="AK115" i="18"/>
  <c r="AC116" i="18"/>
  <c r="AG116" i="18" s="1"/>
  <c r="AK116" i="18"/>
  <c r="AC117" i="18"/>
  <c r="AG117" i="18" s="1"/>
  <c r="AK117" i="18"/>
  <c r="AC118" i="18"/>
  <c r="AG118" i="18" s="1"/>
  <c r="AK118" i="18"/>
  <c r="AC120" i="18"/>
  <c r="AG120" i="18" s="1"/>
  <c r="AK120" i="18"/>
  <c r="AC121" i="18"/>
  <c r="AG121" i="18" s="1"/>
  <c r="AK121" i="18"/>
  <c r="AC122" i="18"/>
  <c r="AG122" i="18" s="1"/>
  <c r="AK122" i="18"/>
  <c r="AC123" i="18"/>
  <c r="AG123" i="18" s="1"/>
  <c r="AK123" i="18"/>
  <c r="AC46" i="18"/>
  <c r="AD46" i="18"/>
  <c r="AB46" i="18"/>
  <c r="AK56" i="18"/>
  <c r="AL56" i="18"/>
  <c r="AM56" i="18"/>
  <c r="AN56" i="18"/>
  <c r="AK57" i="18"/>
  <c r="AL57" i="18"/>
  <c r="AM57" i="18"/>
  <c r="AN57" i="18"/>
  <c r="AK58" i="18"/>
  <c r="AL58" i="18"/>
  <c r="AM58" i="18"/>
  <c r="AN58" i="18"/>
  <c r="AK59" i="18"/>
  <c r="AL59" i="18"/>
  <c r="AM59" i="18"/>
  <c r="AN59" i="18"/>
  <c r="AQ119" i="19"/>
  <c r="AQ120" i="19"/>
  <c r="AQ121" i="19"/>
  <c r="AQ122" i="19"/>
  <c r="AQ124" i="19"/>
  <c r="AS98" i="17"/>
  <c r="AT98" i="17" s="1"/>
  <c r="AS97" i="17"/>
  <c r="AT97" i="17" s="1"/>
  <c r="AI163" i="18"/>
  <c r="C51" i="17"/>
  <c r="AL39" i="18"/>
  <c r="AM39" i="18"/>
  <c r="AN39" i="18"/>
  <c r="AL40" i="18"/>
  <c r="AM40" i="18"/>
  <c r="AN40" i="18"/>
  <c r="AL41" i="18"/>
  <c r="AM41" i="18"/>
  <c r="AN41" i="18"/>
  <c r="AL42" i="18"/>
  <c r="AM42" i="18"/>
  <c r="AN42" i="18"/>
  <c r="AL43" i="18"/>
  <c r="AM43" i="18"/>
  <c r="AN43" i="18"/>
  <c r="AL44" i="18"/>
  <c r="AM44" i="18"/>
  <c r="AN44" i="18"/>
  <c r="AL45" i="18"/>
  <c r="AM45" i="18"/>
  <c r="AN45" i="18"/>
  <c r="AL46" i="18"/>
  <c r="AM46" i="18"/>
  <c r="AN46" i="18"/>
  <c r="AL47" i="18"/>
  <c r="AM47" i="18"/>
  <c r="AN47" i="18"/>
  <c r="AL48" i="18"/>
  <c r="AM48" i="18"/>
  <c r="AN48" i="18"/>
  <c r="AL49" i="18"/>
  <c r="AM49" i="18"/>
  <c r="AN49" i="18"/>
  <c r="AL50" i="18"/>
  <c r="AM50" i="18"/>
  <c r="AN50" i="18"/>
  <c r="AL51" i="18"/>
  <c r="AM51" i="18"/>
  <c r="AN51" i="18"/>
  <c r="AL52" i="18"/>
  <c r="AM52" i="18"/>
  <c r="AN52" i="18"/>
  <c r="AL53" i="18"/>
  <c r="AM53" i="18"/>
  <c r="AN53" i="18"/>
  <c r="AL54" i="18"/>
  <c r="AM54" i="18"/>
  <c r="AN54" i="18"/>
  <c r="AL55" i="18"/>
  <c r="AM55" i="18"/>
  <c r="AN55" i="18"/>
  <c r="AK40" i="18"/>
  <c r="AK42" i="18"/>
  <c r="AK43" i="18"/>
  <c r="AK44" i="18"/>
  <c r="AK45" i="18"/>
  <c r="AK46" i="18"/>
  <c r="AK47" i="18"/>
  <c r="AK48" i="18"/>
  <c r="AK49" i="18"/>
  <c r="AK50" i="18"/>
  <c r="AK51" i="18"/>
  <c r="AK52" i="18"/>
  <c r="AK53" i="18"/>
  <c r="AK54" i="18"/>
  <c r="AK55" i="18"/>
  <c r="AK39" i="18"/>
  <c r="AQ118" i="19"/>
  <c r="AQ115" i="19"/>
  <c r="AQ116" i="19"/>
  <c r="AQ117" i="19"/>
  <c r="AQ105" i="19"/>
  <c r="AQ106" i="19"/>
  <c r="AQ107" i="19"/>
  <c r="AQ108" i="19"/>
  <c r="AQ109" i="19"/>
  <c r="AQ110" i="19"/>
  <c r="AQ111" i="19"/>
  <c r="AQ112" i="19"/>
  <c r="AQ113" i="19"/>
  <c r="AQ114" i="19"/>
  <c r="AQ104" i="19"/>
  <c r="AD45" i="18"/>
  <c r="AC45" i="18"/>
  <c r="AB45" i="18"/>
  <c r="AD44" i="18"/>
  <c r="AC44" i="18"/>
  <c r="AB44" i="18"/>
  <c r="AD43" i="18"/>
  <c r="AC43" i="18"/>
  <c r="AB43" i="18"/>
  <c r="AD42" i="18"/>
  <c r="AC42" i="18"/>
  <c r="AB42" i="18"/>
  <c r="AD40" i="18"/>
  <c r="AC40" i="18"/>
  <c r="AB40" i="18"/>
  <c r="AD39" i="18"/>
  <c r="L37" i="18" s="1"/>
  <c r="AC39" i="18"/>
  <c r="K37" i="18" s="1"/>
  <c r="AB39" i="18"/>
  <c r="J37" i="18" s="1"/>
  <c r="AD38" i="18"/>
  <c r="AC38" i="18"/>
  <c r="AB38" i="18"/>
  <c r="AD37" i="18"/>
  <c r="AC37" i="18"/>
  <c r="AB37" i="18"/>
  <c r="AY33" i="18"/>
  <c r="AX33" i="18"/>
  <c r="AW33" i="18"/>
  <c r="AV33" i="18"/>
  <c r="AU33" i="18"/>
  <c r="AT33" i="18"/>
  <c r="AS33" i="18"/>
  <c r="AR33" i="18"/>
  <c r="AQ33" i="18"/>
  <c r="AP33" i="18"/>
  <c r="AN33" i="18"/>
  <c r="AM33" i="18"/>
  <c r="AL33" i="18"/>
  <c r="AK33" i="18"/>
  <c r="AJ33" i="18"/>
  <c r="AI33" i="18"/>
  <c r="AH33" i="18"/>
  <c r="AG33" i="18"/>
  <c r="AF33" i="18"/>
  <c r="AM23" i="18"/>
  <c r="J25" i="18" s="1"/>
  <c r="BH5" i="18"/>
  <c r="BI5" i="18"/>
  <c r="BJ5" i="18"/>
  <c r="BK5" i="18"/>
  <c r="AE43" i="7"/>
  <c r="AD43" i="7"/>
  <c r="AE42" i="7"/>
  <c r="AD42" i="7"/>
  <c r="AE37" i="7"/>
  <c r="AD37" i="7"/>
  <c r="AE36" i="7"/>
  <c r="AD36" i="7"/>
  <c r="AE32" i="7"/>
  <c r="AD32" i="7"/>
  <c r="AB43" i="7"/>
  <c r="AA43" i="7"/>
  <c r="AB42" i="7"/>
  <c r="AA42" i="7"/>
  <c r="AB37" i="7"/>
  <c r="AA37" i="7"/>
  <c r="AB36" i="7"/>
  <c r="AA36" i="7"/>
  <c r="AB32" i="7"/>
  <c r="AA32" i="7"/>
  <c r="Y43" i="7"/>
  <c r="X43" i="7"/>
  <c r="Y42" i="7"/>
  <c r="X42" i="7"/>
  <c r="Y37" i="7"/>
  <c r="X37" i="7"/>
  <c r="Y36" i="7"/>
  <c r="X36" i="7"/>
  <c r="Y32" i="7"/>
  <c r="X32" i="7"/>
  <c r="V43" i="7"/>
  <c r="U43" i="7"/>
  <c r="V42" i="7"/>
  <c r="U42" i="7"/>
  <c r="V37" i="7"/>
  <c r="U37" i="7"/>
  <c r="V36" i="7"/>
  <c r="U36" i="7"/>
  <c r="V32" i="7"/>
  <c r="U32" i="7"/>
  <c r="S43" i="7"/>
  <c r="R43" i="7"/>
  <c r="S42" i="7"/>
  <c r="R42" i="7"/>
  <c r="S37" i="7"/>
  <c r="R37" i="7"/>
  <c r="S36" i="7"/>
  <c r="R36" i="7"/>
  <c r="S32" i="7"/>
  <c r="R32" i="7"/>
  <c r="P43" i="7"/>
  <c r="O43" i="7"/>
  <c r="P42" i="7"/>
  <c r="O42" i="7"/>
  <c r="P37" i="7"/>
  <c r="O37" i="7"/>
  <c r="P36" i="7"/>
  <c r="O36" i="7"/>
  <c r="P32" i="7"/>
  <c r="O32" i="7"/>
  <c r="M43" i="7"/>
  <c r="L43" i="7"/>
  <c r="M42" i="7"/>
  <c r="L42" i="7"/>
  <c r="M37" i="7"/>
  <c r="L37" i="7"/>
  <c r="M36" i="7"/>
  <c r="L36" i="7"/>
  <c r="M32" i="7"/>
  <c r="L32" i="7"/>
  <c r="J43" i="7"/>
  <c r="I43" i="7"/>
  <c r="J42" i="7"/>
  <c r="I42" i="7"/>
  <c r="J37" i="7"/>
  <c r="I37" i="7"/>
  <c r="J36" i="7"/>
  <c r="I36" i="7"/>
  <c r="J32" i="7"/>
  <c r="I32" i="7"/>
  <c r="G43" i="7"/>
  <c r="F43" i="7"/>
  <c r="G42" i="7"/>
  <c r="F42" i="7"/>
  <c r="G37" i="7"/>
  <c r="F37" i="7"/>
  <c r="G36" i="7"/>
  <c r="F36" i="7"/>
  <c r="G32" i="7"/>
  <c r="F32" i="7"/>
  <c r="L100" i="7"/>
  <c r="K100" i="7"/>
  <c r="L99" i="7"/>
  <c r="K99" i="7"/>
  <c r="L95" i="7"/>
  <c r="K95" i="7"/>
  <c r="L94" i="7"/>
  <c r="K94" i="7"/>
  <c r="L90" i="7"/>
  <c r="K90" i="7"/>
  <c r="L89" i="7"/>
  <c r="K89" i="7"/>
  <c r="I100" i="7"/>
  <c r="H100" i="7"/>
  <c r="I99" i="7"/>
  <c r="H99" i="7"/>
  <c r="I95" i="7"/>
  <c r="H95" i="7"/>
  <c r="I94" i="7"/>
  <c r="H94" i="7"/>
  <c r="I90" i="7"/>
  <c r="H90" i="7"/>
  <c r="I89" i="7"/>
  <c r="H89" i="7"/>
  <c r="F100" i="7"/>
  <c r="E100" i="7"/>
  <c r="F99" i="7"/>
  <c r="E99" i="7"/>
  <c r="F95" i="7"/>
  <c r="E95" i="7"/>
  <c r="F94" i="7"/>
  <c r="E94" i="7"/>
  <c r="F90" i="7"/>
  <c r="E90" i="7"/>
  <c r="F89" i="7"/>
  <c r="E89" i="7"/>
  <c r="V61" i="5"/>
  <c r="U61" i="5"/>
  <c r="V60" i="5"/>
  <c r="U60" i="5"/>
  <c r="V57" i="5"/>
  <c r="U57" i="5"/>
  <c r="V56" i="5"/>
  <c r="U56" i="5"/>
  <c r="V53" i="5"/>
  <c r="U53" i="5"/>
  <c r="V52" i="5"/>
  <c r="U52" i="5"/>
  <c r="V49" i="5"/>
  <c r="U49" i="5"/>
  <c r="V48" i="5"/>
  <c r="U48" i="5"/>
  <c r="V45" i="5"/>
  <c r="U45" i="5"/>
  <c r="V44" i="5"/>
  <c r="U44" i="5"/>
  <c r="V41" i="5"/>
  <c r="U41" i="5"/>
  <c r="V40" i="5"/>
  <c r="U40" i="5"/>
  <c r="V34" i="5"/>
  <c r="U34" i="5"/>
  <c r="V33" i="5"/>
  <c r="U33" i="5"/>
  <c r="S61" i="5"/>
  <c r="R61" i="5"/>
  <c r="S60" i="5"/>
  <c r="R60" i="5"/>
  <c r="S57" i="5"/>
  <c r="R57" i="5"/>
  <c r="S56" i="5"/>
  <c r="R56" i="5"/>
  <c r="S53" i="5"/>
  <c r="R53" i="5"/>
  <c r="S52" i="5"/>
  <c r="R52" i="5"/>
  <c r="S49" i="5"/>
  <c r="R49" i="5"/>
  <c r="S48" i="5"/>
  <c r="R48" i="5"/>
  <c r="S45" i="5"/>
  <c r="R45" i="5"/>
  <c r="S44" i="5"/>
  <c r="R44" i="5"/>
  <c r="S41" i="5"/>
  <c r="R41" i="5"/>
  <c r="S40" i="5"/>
  <c r="R40" i="5"/>
  <c r="S34" i="5"/>
  <c r="R34" i="5"/>
  <c r="S33" i="5"/>
  <c r="R33" i="5"/>
  <c r="P61" i="5"/>
  <c r="O61" i="5"/>
  <c r="P60" i="5"/>
  <c r="O60" i="5"/>
  <c r="P57" i="5"/>
  <c r="O57" i="5"/>
  <c r="P56" i="5"/>
  <c r="O56" i="5"/>
  <c r="P53" i="5"/>
  <c r="O53" i="5"/>
  <c r="P52" i="5"/>
  <c r="O52" i="5"/>
  <c r="P49" i="5"/>
  <c r="O49" i="5"/>
  <c r="P48" i="5"/>
  <c r="O48" i="5"/>
  <c r="P45" i="5"/>
  <c r="O45" i="5"/>
  <c r="P44" i="5"/>
  <c r="O44" i="5"/>
  <c r="P41" i="5"/>
  <c r="O41" i="5"/>
  <c r="P40" i="5"/>
  <c r="O40" i="5"/>
  <c r="P34" i="5"/>
  <c r="O34" i="5"/>
  <c r="P33" i="5"/>
  <c r="O33" i="5"/>
  <c r="M49" i="5"/>
  <c r="L49" i="5"/>
  <c r="M48" i="5"/>
  <c r="L48" i="5"/>
  <c r="M45" i="5"/>
  <c r="L45" i="5"/>
  <c r="M44" i="5"/>
  <c r="L44" i="5"/>
  <c r="M41" i="5"/>
  <c r="L41" i="5"/>
  <c r="M40" i="5"/>
  <c r="L40" i="5"/>
  <c r="M34" i="5"/>
  <c r="L34" i="5"/>
  <c r="M33" i="5"/>
  <c r="L33" i="5"/>
  <c r="J49" i="5"/>
  <c r="I49" i="5"/>
  <c r="J48" i="5"/>
  <c r="I48" i="5"/>
  <c r="J45" i="5"/>
  <c r="I45" i="5"/>
  <c r="J44" i="5"/>
  <c r="I44" i="5"/>
  <c r="J41" i="5"/>
  <c r="I41" i="5"/>
  <c r="J40" i="5"/>
  <c r="I40" i="5"/>
  <c r="J34" i="5"/>
  <c r="I34" i="5"/>
  <c r="J33" i="5"/>
  <c r="I33" i="5"/>
  <c r="G49" i="5"/>
  <c r="F49" i="5"/>
  <c r="G48" i="5"/>
  <c r="F48" i="5"/>
  <c r="G45" i="5"/>
  <c r="F45" i="5"/>
  <c r="G44" i="5"/>
  <c r="F44" i="5"/>
  <c r="G41" i="5"/>
  <c r="F41" i="5"/>
  <c r="G40" i="5"/>
  <c r="F40" i="5"/>
  <c r="G34" i="5"/>
  <c r="F34" i="5"/>
  <c r="G33" i="5"/>
  <c r="F33" i="5"/>
  <c r="AZ75" i="17"/>
  <c r="BA75" i="17"/>
  <c r="AZ77" i="17"/>
  <c r="BA77" i="17"/>
  <c r="AZ79" i="17"/>
  <c r="BA79" i="17"/>
  <c r="AZ80" i="17"/>
  <c r="BA80" i="17"/>
  <c r="AZ81" i="17"/>
  <c r="BA81" i="17"/>
  <c r="AY75" i="17"/>
  <c r="AY77" i="17"/>
  <c r="AY79" i="17"/>
  <c r="AY80" i="17"/>
  <c r="AY81" i="17"/>
  <c r="AH60" i="17"/>
  <c r="AG60" i="17"/>
  <c r="AF60" i="17"/>
  <c r="AE60" i="17"/>
  <c r="AD60" i="17"/>
  <c r="AC60" i="17"/>
  <c r="AH59" i="17"/>
  <c r="AG59" i="17"/>
  <c r="AF59" i="17"/>
  <c r="AE59" i="17"/>
  <c r="AD59" i="17"/>
  <c r="AC59" i="17"/>
  <c r="AH58" i="17"/>
  <c r="AG58" i="17"/>
  <c r="AF58" i="17"/>
  <c r="AE58" i="17"/>
  <c r="AD58" i="17"/>
  <c r="AC58" i="17"/>
  <c r="AH57" i="17"/>
  <c r="AG57" i="17"/>
  <c r="AF57" i="17"/>
  <c r="AE57" i="17"/>
  <c r="AD57" i="17"/>
  <c r="AC57" i="17"/>
  <c r="AH23" i="17"/>
  <c r="AG23" i="17"/>
  <c r="AF23" i="17"/>
  <c r="AE23" i="17"/>
  <c r="AD23" i="17"/>
  <c r="AC23" i="17"/>
  <c r="AH22" i="17"/>
  <c r="AG22" i="17"/>
  <c r="AF22" i="17"/>
  <c r="AD22" i="17"/>
  <c r="AC22" i="17"/>
  <c r="AH21" i="17"/>
  <c r="AG21" i="17"/>
  <c r="AF21" i="17"/>
  <c r="AE21" i="17"/>
  <c r="AD21" i="17"/>
  <c r="AC21" i="17"/>
  <c r="AK6" i="17"/>
  <c r="AL6" i="17"/>
  <c r="AJ6" i="17"/>
  <c r="AD15" i="17"/>
  <c r="AC15" i="17"/>
  <c r="AB15" i="17"/>
  <c r="AD14" i="17"/>
  <c r="AC14" i="17"/>
  <c r="AB14" i="17"/>
  <c r="AD13" i="17"/>
  <c r="AD9" i="17" s="1"/>
  <c r="AC13" i="17"/>
  <c r="AC9" i="17" s="1"/>
  <c r="AB13" i="17"/>
  <c r="AB9" i="17" s="1"/>
  <c r="AD12" i="17"/>
  <c r="AC12" i="17"/>
  <c r="AB12" i="17"/>
  <c r="AC6" i="17"/>
  <c r="AD6" i="17"/>
  <c r="AB6" i="17"/>
  <c r="AA21" i="14"/>
  <c r="L247" i="1"/>
  <c r="L246" i="1"/>
  <c r="AA285" i="1"/>
  <c r="AA224" i="1"/>
  <c r="AA223" i="1"/>
  <c r="AA217" i="1"/>
  <c r="AA206" i="1"/>
  <c r="AA190" i="1"/>
  <c r="AA189" i="1"/>
  <c r="AA188" i="1"/>
  <c r="AA186" i="1"/>
  <c r="AA185" i="1"/>
  <c r="AA176" i="1"/>
  <c r="AA184" i="1"/>
  <c r="AA175" i="1"/>
  <c r="AA171" i="1"/>
  <c r="AA172" i="1"/>
  <c r="AA166" i="1"/>
  <c r="AA165" i="1"/>
  <c r="AA164" i="1"/>
  <c r="AA143" i="1"/>
  <c r="AQ109" i="1"/>
  <c r="AQ108" i="1"/>
  <c r="AS103" i="1"/>
  <c r="AQ103" i="1"/>
  <c r="AW96" i="1"/>
  <c r="AU96" i="1"/>
  <c r="AQ87" i="1"/>
  <c r="AS79" i="1"/>
  <c r="AQ79" i="1"/>
  <c r="AS72" i="1"/>
  <c r="AK79" i="1"/>
  <c r="AK84" i="1"/>
  <c r="AK85" i="1"/>
  <c r="AK86" i="1"/>
  <c r="AK87" i="1"/>
  <c r="AK96" i="1"/>
  <c r="AK97" i="1"/>
  <c r="AK103" i="1"/>
  <c r="AK107" i="1"/>
  <c r="AK108" i="1"/>
  <c r="AK109" i="1"/>
  <c r="AK117" i="1"/>
  <c r="AK118" i="1"/>
  <c r="AK72" i="1"/>
  <c r="AV64" i="1"/>
  <c r="AT64" i="1"/>
  <c r="AS64" i="1"/>
  <c r="AQ64" i="1"/>
  <c r="AW60" i="1"/>
  <c r="AU60" i="1"/>
  <c r="AW59" i="1"/>
  <c r="AU59" i="1"/>
  <c r="AK62" i="1"/>
  <c r="AK60" i="1"/>
  <c r="AK59" i="1"/>
  <c r="AK55" i="1"/>
  <c r="AA102" i="1"/>
  <c r="AA70" i="1"/>
  <c r="AA63" i="1"/>
  <c r="AA62" i="1"/>
  <c r="AA55" i="1"/>
  <c r="AA45" i="1"/>
  <c r="AD49" i="1"/>
  <c r="AD48" i="1"/>
  <c r="AD47" i="1"/>
  <c r="C31" i="2"/>
  <c r="C26" i="2"/>
  <c r="U12" i="12"/>
  <c r="U10" i="8"/>
  <c r="R10" i="8"/>
  <c r="O10" i="8"/>
  <c r="AL24" i="18"/>
  <c r="E16" i="18"/>
  <c r="E17" i="18"/>
  <c r="F79" i="15"/>
  <c r="F78" i="15"/>
  <c r="F51" i="15"/>
  <c r="F50" i="15"/>
  <c r="F44" i="15"/>
  <c r="F45" i="15"/>
  <c r="F46" i="15"/>
  <c r="R12" i="12"/>
  <c r="O12" i="12"/>
  <c r="H161" i="1"/>
  <c r="D27" i="2"/>
  <c r="D29" i="2"/>
  <c r="D32" i="2"/>
  <c r="D26" i="2"/>
  <c r="C5" i="19"/>
  <c r="C2" i="19"/>
  <c r="C7" i="19"/>
  <c r="CA1" i="19"/>
  <c r="AQ216" i="19"/>
  <c r="C58" i="19"/>
  <c r="DN1" i="19"/>
  <c r="DN22" i="19"/>
  <c r="AH73" i="19"/>
  <c r="AQ87" i="19"/>
  <c r="FA1" i="19"/>
  <c r="C65" i="19"/>
  <c r="C41" i="19"/>
  <c r="AZ131" i="19"/>
  <c r="EB1" i="19"/>
  <c r="C66" i="19"/>
  <c r="C61" i="19"/>
  <c r="DN43" i="19"/>
  <c r="AH33" i="19"/>
  <c r="DN64" i="19"/>
  <c r="C17" i="19"/>
  <c r="AH10" i="19"/>
  <c r="X1" i="19"/>
  <c r="I1" i="19"/>
  <c r="AZ147" i="19"/>
  <c r="AZ78" i="19"/>
  <c r="C30" i="19"/>
  <c r="CA13" i="19"/>
  <c r="C42" i="19"/>
  <c r="C44" i="19"/>
  <c r="AQ100" i="19"/>
  <c r="AC1" i="19"/>
  <c r="C62" i="19"/>
  <c r="AZ1" i="19"/>
  <c r="AZ94" i="19"/>
  <c r="FR1" i="19"/>
  <c r="AQ128" i="19"/>
  <c r="C27" i="19"/>
  <c r="AQ134" i="19"/>
  <c r="T24" i="17"/>
  <c r="C60" i="19"/>
  <c r="C20" i="19"/>
  <c r="AH2" i="19"/>
  <c r="EB67" i="19"/>
  <c r="AZ210" i="19"/>
  <c r="C55" i="19"/>
  <c r="AH72" i="19"/>
  <c r="EB23" i="19"/>
  <c r="AH19" i="19"/>
  <c r="C53" i="19"/>
  <c r="AZ239" i="19"/>
  <c r="AQ34" i="19"/>
  <c r="AQ1" i="19"/>
  <c r="DN85" i="19"/>
  <c r="T30" i="17"/>
  <c r="AC8" i="19"/>
  <c r="CR1" i="19"/>
  <c r="FG1" i="19"/>
  <c r="AZ70" i="19"/>
  <c r="AZ118" i="19"/>
  <c r="EP1" i="19"/>
  <c r="AZ86" i="19"/>
  <c r="AZ139" i="19"/>
  <c r="AH54" i="19"/>
  <c r="EB80" i="19"/>
  <c r="U8" i="19"/>
  <c r="AQ52" i="19"/>
  <c r="C16" i="19"/>
  <c r="AZ102" i="19"/>
  <c r="EB45" i="19"/>
  <c r="U1" i="19"/>
  <c r="C11" i="19"/>
  <c r="C47" i="19"/>
  <c r="AZ110" i="19"/>
  <c r="AZ62" i="19"/>
  <c r="C45" i="19"/>
  <c r="C46" i="19"/>
  <c r="AH71" i="19"/>
  <c r="AH37" i="19"/>
  <c r="C26" i="19"/>
  <c r="AZ218" i="19"/>
  <c r="AH26" i="19"/>
  <c r="AX134" i="19"/>
  <c r="P139" i="6" l="1"/>
  <c r="AJ12" i="6" s="1"/>
  <c r="N94" i="6"/>
  <c r="N139" i="6" s="1"/>
  <c r="J11" i="30"/>
  <c r="I11" i="30"/>
  <c r="AX78" i="22"/>
  <c r="AX77" i="22"/>
  <c r="AX76" i="22"/>
  <c r="AW84" i="22"/>
  <c r="AF83" i="22" s="1"/>
  <c r="AW86" i="22"/>
  <c r="BI84" i="22"/>
  <c r="AF84" i="22" s="1"/>
  <c r="BI86" i="22"/>
  <c r="BU84" i="22"/>
  <c r="BU86" i="22"/>
  <c r="CG84" i="22"/>
  <c r="CG86" i="22"/>
  <c r="AY83" i="22"/>
  <c r="AY84" i="22"/>
  <c r="AY85" i="22"/>
  <c r="AY86" i="22"/>
  <c r="BK83" i="22"/>
  <c r="BK84" i="22"/>
  <c r="BK85" i="22"/>
  <c r="BK86" i="22"/>
  <c r="BW83" i="22"/>
  <c r="BW84" i="22"/>
  <c r="BW85" i="22"/>
  <c r="BW86" i="22"/>
  <c r="CI83" i="22"/>
  <c r="CI84" i="22"/>
  <c r="CI85" i="22"/>
  <c r="CI86" i="22"/>
  <c r="BV83" i="22"/>
  <c r="AC85" i="22" s="1"/>
  <c r="AX83" i="22"/>
  <c r="AC83" i="22" s="1"/>
  <c r="H79" i="22"/>
  <c r="BJ84" i="22"/>
  <c r="AG84" i="22" s="1"/>
  <c r="AF81" i="22"/>
  <c r="BJ86" i="22"/>
  <c r="L81" i="22"/>
  <c r="BJ85" i="22"/>
  <c r="AW83" i="22"/>
  <c r="AD83" i="22" s="1"/>
  <c r="AW85" i="22"/>
  <c r="AH83" i="22" s="1"/>
  <c r="BI83" i="22"/>
  <c r="AD84" i="22" s="1"/>
  <c r="BI85" i="22"/>
  <c r="K84" i="22" s="1"/>
  <c r="BU83" i="22"/>
  <c r="AD85" i="22" s="1"/>
  <c r="BU85" i="22"/>
  <c r="AH85" i="22" s="1"/>
  <c r="CG83" i="22"/>
  <c r="CG85" i="22"/>
  <c r="BJ83" i="22"/>
  <c r="AC84" i="22" s="1"/>
  <c r="AD81" i="22"/>
  <c r="BV84" i="22"/>
  <c r="AE85" i="22" s="1"/>
  <c r="AX84" i="22"/>
  <c r="AE83" i="22" s="1"/>
  <c r="J79" i="22"/>
  <c r="BV86" i="22"/>
  <c r="L85" i="22" s="1"/>
  <c r="AX86" i="22"/>
  <c r="L79" i="22"/>
  <c r="BV85" i="22"/>
  <c r="AG85" i="22" s="1"/>
  <c r="AX85" i="22"/>
  <c r="AG83" i="22" s="1"/>
  <c r="K79" i="22"/>
  <c r="K73" i="22"/>
  <c r="H73" i="22"/>
  <c r="L73" i="22"/>
  <c r="J73" i="22"/>
  <c r="L84" i="22"/>
  <c r="AL9" i="17"/>
  <c r="AJ9" i="17"/>
  <c r="T11" i="17" s="1"/>
  <c r="AW75" i="22"/>
  <c r="AW77" i="22"/>
  <c r="AY78" i="22"/>
  <c r="AY77" i="22"/>
  <c r="AY76" i="22"/>
  <c r="AY75" i="22"/>
  <c r="H85" i="22"/>
  <c r="J87" i="22"/>
  <c r="CH84" i="22"/>
  <c r="L87" i="22"/>
  <c r="CH86" i="22"/>
  <c r="K87" i="22"/>
  <c r="CH85" i="22"/>
  <c r="AK9" i="17"/>
  <c r="U11" i="17" s="1"/>
  <c r="AW78" i="22"/>
  <c r="AW76" i="22"/>
  <c r="H87" i="22"/>
  <c r="CH83" i="22"/>
  <c r="AF85" i="22"/>
  <c r="AE116" i="18"/>
  <c r="AZ103" i="18"/>
  <c r="AE98" i="18"/>
  <c r="AZ92" i="18"/>
  <c r="AE85" i="18"/>
  <c r="AZ82" i="18"/>
  <c r="AE77" i="18"/>
  <c r="AZ76" i="18"/>
  <c r="AE134" i="18"/>
  <c r="AZ115" i="18"/>
  <c r="AE123" i="18"/>
  <c r="J123" i="18" s="1"/>
  <c r="AZ109" i="18"/>
  <c r="AE118" i="18"/>
  <c r="AZ105" i="18"/>
  <c r="AE107" i="18"/>
  <c r="J107" i="18" s="1"/>
  <c r="AZ99" i="18"/>
  <c r="AE102" i="18"/>
  <c r="AZ95" i="18"/>
  <c r="AG114" i="21" s="1"/>
  <c r="AE93" i="18"/>
  <c r="J93" i="18" s="1"/>
  <c r="AZ88" i="18"/>
  <c r="AE87" i="18"/>
  <c r="AZ84" i="18"/>
  <c r="AE82" i="18"/>
  <c r="J82" i="18" s="1"/>
  <c r="AZ80" i="18"/>
  <c r="AE74" i="18"/>
  <c r="AZ74" i="18"/>
  <c r="O93" i="7"/>
  <c r="O94" i="7" s="1"/>
  <c r="AE132" i="18"/>
  <c r="J132" i="18" s="1"/>
  <c r="AZ113" i="18"/>
  <c r="AE121" i="18"/>
  <c r="J121" i="18" s="1"/>
  <c r="AZ107" i="18"/>
  <c r="AE109" i="18"/>
  <c r="J109" i="18" s="1"/>
  <c r="AZ101" i="18"/>
  <c r="AE105" i="18"/>
  <c r="J105" i="18" s="1"/>
  <c r="AZ97" i="18"/>
  <c r="AE95" i="18"/>
  <c r="J95" i="18" s="1"/>
  <c r="AZ90" i="18"/>
  <c r="AE90" i="18"/>
  <c r="J90" i="18" s="1"/>
  <c r="AZ86" i="18"/>
  <c r="AE80" i="18"/>
  <c r="J80" i="18" s="1"/>
  <c r="AZ78" i="18"/>
  <c r="AE136" i="18"/>
  <c r="J136" i="18" s="1"/>
  <c r="AZ116" i="18"/>
  <c r="AE133" i="18"/>
  <c r="J133" i="18" s="1"/>
  <c r="AZ114" i="18"/>
  <c r="AE131" i="18"/>
  <c r="J131" i="18" s="1"/>
  <c r="AZ112" i="18"/>
  <c r="AE122" i="18"/>
  <c r="J122" i="18" s="1"/>
  <c r="AZ108" i="18"/>
  <c r="AE120" i="18"/>
  <c r="J120" i="18" s="1"/>
  <c r="AZ106" i="18"/>
  <c r="AE117" i="18"/>
  <c r="J117" i="18" s="1"/>
  <c r="AZ104" i="18"/>
  <c r="AE115" i="18"/>
  <c r="J115" i="18" s="1"/>
  <c r="AZ102" i="18"/>
  <c r="AE108" i="18"/>
  <c r="J108" i="18" s="1"/>
  <c r="AZ100" i="18"/>
  <c r="AE106" i="18"/>
  <c r="AZ98" i="18"/>
  <c r="AE103" i="18"/>
  <c r="J103" i="18" s="1"/>
  <c r="AZ96" i="18"/>
  <c r="AE99" i="18"/>
  <c r="J99" i="18" s="1"/>
  <c r="AZ93" i="18"/>
  <c r="AE97" i="18"/>
  <c r="J97" i="18" s="1"/>
  <c r="AZ91" i="18"/>
  <c r="AE94" i="18"/>
  <c r="AZ89" i="18"/>
  <c r="AE91" i="18"/>
  <c r="AZ87" i="18"/>
  <c r="AE89" i="18"/>
  <c r="J89" i="18" s="1"/>
  <c r="AZ85" i="18"/>
  <c r="AE86" i="18"/>
  <c r="J86" i="18" s="1"/>
  <c r="AZ83" i="18"/>
  <c r="AE83" i="18"/>
  <c r="J83" i="18" s="1"/>
  <c r="AZ81" i="18"/>
  <c r="AE81" i="18"/>
  <c r="J81" i="18" s="1"/>
  <c r="AZ79" i="18"/>
  <c r="AE78" i="18"/>
  <c r="AZ77" i="18"/>
  <c r="AE75" i="18"/>
  <c r="AZ75" i="18"/>
  <c r="AE73" i="18"/>
  <c r="J73" i="18" s="1"/>
  <c r="AZ73" i="18"/>
  <c r="AG67" i="21" s="1"/>
  <c r="E44" i="7"/>
  <c r="AA46" i="22"/>
  <c r="AA38" i="22"/>
  <c r="P32" i="4"/>
  <c r="P33" i="4" s="1"/>
  <c r="AN49" i="22"/>
  <c r="AN48" i="22"/>
  <c r="AN47" i="22"/>
  <c r="AN46" i="22"/>
  <c r="AN45" i="22"/>
  <c r="AN41" i="22"/>
  <c r="AN40" i="22"/>
  <c r="AN39" i="22"/>
  <c r="AN38" i="22"/>
  <c r="H128" i="22"/>
  <c r="K52" i="18"/>
  <c r="L52" i="18"/>
  <c r="AB27" i="18"/>
  <c r="AW74" i="17"/>
  <c r="AW76" i="17"/>
  <c r="AW78" i="17"/>
  <c r="AW80" i="17"/>
  <c r="AW82" i="17"/>
  <c r="AW84" i="17"/>
  <c r="AW86" i="17"/>
  <c r="AW75" i="17"/>
  <c r="AW77" i="17"/>
  <c r="AW79" i="17"/>
  <c r="AW81" i="17"/>
  <c r="AW83" i="17"/>
  <c r="AW85" i="17"/>
  <c r="AW87" i="17"/>
  <c r="AV75" i="17"/>
  <c r="AV77" i="17"/>
  <c r="AV79" i="17"/>
  <c r="AV81" i="17"/>
  <c r="AV83" i="17"/>
  <c r="AV85" i="17"/>
  <c r="AV87" i="17"/>
  <c r="AV74" i="17"/>
  <c r="AV76" i="17"/>
  <c r="AV80" i="17"/>
  <c r="AV82" i="17"/>
  <c r="AV84" i="17"/>
  <c r="AV86" i="17"/>
  <c r="AU76" i="17"/>
  <c r="AU78" i="17"/>
  <c r="AU80" i="17"/>
  <c r="AU82" i="17"/>
  <c r="AU84" i="17"/>
  <c r="AU86" i="17"/>
  <c r="AU75" i="17"/>
  <c r="AU77" i="17"/>
  <c r="AU79" i="17"/>
  <c r="AU81" i="17"/>
  <c r="AU83" i="17"/>
  <c r="AU87" i="17"/>
  <c r="V11" i="17"/>
  <c r="J11" i="17"/>
  <c r="I11" i="17"/>
  <c r="K11" i="17"/>
  <c r="H61" i="2"/>
  <c r="K57" i="2"/>
  <c r="H64" i="15"/>
  <c r="I64" i="15" s="1"/>
  <c r="H55" i="2"/>
  <c r="K54" i="2"/>
  <c r="H56" i="15"/>
  <c r="K52" i="2"/>
  <c r="H49" i="2"/>
  <c r="H47" i="2"/>
  <c r="K43" i="2"/>
  <c r="H41" i="2"/>
  <c r="C30" i="30"/>
  <c r="J10" i="30"/>
  <c r="I10" i="30"/>
  <c r="J13" i="30"/>
  <c r="I13" i="30"/>
  <c r="AG156" i="1"/>
  <c r="N117" i="1"/>
  <c r="AA125" i="5"/>
  <c r="W124" i="5" s="1"/>
  <c r="AG108" i="21"/>
  <c r="C38" i="28"/>
  <c r="BK2" i="18"/>
  <c r="BJ2" i="18"/>
  <c r="BH2" i="18"/>
  <c r="BG2" i="18" s="1"/>
  <c r="BI2" i="18"/>
  <c r="B35" i="29"/>
  <c r="E40" i="28"/>
  <c r="D40" i="28"/>
  <c r="M97" i="7"/>
  <c r="C30" i="28"/>
  <c r="N32" i="4"/>
  <c r="N33" i="4" s="1"/>
  <c r="N20" i="4" s="1"/>
  <c r="T32" i="4"/>
  <c r="T33" i="4" s="1"/>
  <c r="T20" i="4" s="1"/>
  <c r="U32" i="4"/>
  <c r="U33" i="4" s="1"/>
  <c r="U20" i="4" s="1"/>
  <c r="G30" i="15"/>
  <c r="G28" i="15"/>
  <c r="G29" i="15"/>
  <c r="AL55" i="1"/>
  <c r="K97" i="22"/>
  <c r="AG97" i="22"/>
  <c r="K95" i="22"/>
  <c r="AG95" i="22"/>
  <c r="K81" i="22"/>
  <c r="AG81" i="22"/>
  <c r="AH81" i="22"/>
  <c r="AE79" i="22"/>
  <c r="K96" i="22"/>
  <c r="AG96" i="22"/>
  <c r="K93" i="22"/>
  <c r="AG93" i="22"/>
  <c r="AG79" i="22"/>
  <c r="S32" i="4"/>
  <c r="S33" i="4" s="1"/>
  <c r="R32" i="4"/>
  <c r="R33" i="4" s="1"/>
  <c r="R20" i="4" s="1"/>
  <c r="Q32" i="4"/>
  <c r="Q33" i="4" s="1"/>
  <c r="Q20" i="4" s="1"/>
  <c r="V117" i="6"/>
  <c r="S117" i="6"/>
  <c r="P117" i="6"/>
  <c r="V115" i="6"/>
  <c r="S115" i="6"/>
  <c r="P115" i="6"/>
  <c r="V113" i="6"/>
  <c r="S113" i="6"/>
  <c r="P113" i="6"/>
  <c r="AH89" i="22"/>
  <c r="AF89" i="22"/>
  <c r="AH100" i="22"/>
  <c r="AF100" i="22"/>
  <c r="V116" i="6"/>
  <c r="S116" i="6"/>
  <c r="P116" i="6"/>
  <c r="V114" i="6"/>
  <c r="S114" i="6"/>
  <c r="P114" i="6"/>
  <c r="O112" i="6"/>
  <c r="V112" i="6"/>
  <c r="S112" i="6"/>
  <c r="P112" i="6"/>
  <c r="AG90" i="22"/>
  <c r="AE90" i="22"/>
  <c r="AG101" i="22"/>
  <c r="AE101" i="22"/>
  <c r="C10" i="15"/>
  <c r="C50" i="24"/>
  <c r="AB26" i="18"/>
  <c r="K89" i="22"/>
  <c r="L89" i="22"/>
  <c r="L90" i="22"/>
  <c r="K90" i="22"/>
  <c r="H90" i="22"/>
  <c r="AA49" i="22"/>
  <c r="AA45" i="22"/>
  <c r="AA39" i="22"/>
  <c r="J39" i="22"/>
  <c r="J49" i="22"/>
  <c r="J45" i="22"/>
  <c r="AD89" i="22"/>
  <c r="AD100" i="22"/>
  <c r="H97" i="22"/>
  <c r="AC97" i="22"/>
  <c r="H95" i="22"/>
  <c r="AC95" i="22"/>
  <c r="H81" i="22"/>
  <c r="AC81" i="22"/>
  <c r="J96" i="22"/>
  <c r="AE96" i="22"/>
  <c r="J93" i="22"/>
  <c r="AE93" i="22"/>
  <c r="AC90" i="22"/>
  <c r="AC101" i="22"/>
  <c r="H96" i="22"/>
  <c r="AC96" i="22"/>
  <c r="H93" i="22"/>
  <c r="AC93" i="22"/>
  <c r="AC79" i="22"/>
  <c r="J97" i="22"/>
  <c r="AE97" i="22"/>
  <c r="J95" i="22"/>
  <c r="AE95" i="22"/>
  <c r="J81" i="22"/>
  <c r="AE81" i="22"/>
  <c r="AJ6" i="6"/>
  <c r="AH61" i="21"/>
  <c r="AD59" i="21"/>
  <c r="AH58" i="21"/>
  <c r="AD56" i="21"/>
  <c r="AH56" i="21" s="1"/>
  <c r="AH55" i="21"/>
  <c r="I20" i="1"/>
  <c r="C165" i="24"/>
  <c r="AY71" i="17"/>
  <c r="AB60" i="22"/>
  <c r="J62" i="22" s="1"/>
  <c r="G55" i="15"/>
  <c r="T72" i="7"/>
  <c r="H89" i="22"/>
  <c r="J89" i="22"/>
  <c r="J90" i="22"/>
  <c r="G53" i="3"/>
  <c r="E52" i="6"/>
  <c r="Q72" i="7"/>
  <c r="AG45" i="18"/>
  <c r="X80" i="7"/>
  <c r="X74" i="7" s="1"/>
  <c r="C164" i="24"/>
  <c r="H35" i="5"/>
  <c r="K47" i="2"/>
  <c r="T92" i="6"/>
  <c r="V92" i="6"/>
  <c r="V91" i="6" s="1"/>
  <c r="Q92" i="6"/>
  <c r="M92" i="6"/>
  <c r="M90" i="6" s="1"/>
  <c r="T128" i="5"/>
  <c r="F92" i="6"/>
  <c r="F88" i="6" s="1"/>
  <c r="G72" i="7"/>
  <c r="J47" i="22"/>
  <c r="AA47" i="22"/>
  <c r="J41" i="22"/>
  <c r="AA41" i="22"/>
  <c r="N37" i="5"/>
  <c r="V157" i="6"/>
  <c r="K31" i="5"/>
  <c r="M88" i="7"/>
  <c r="K41" i="7"/>
  <c r="T38" i="7"/>
  <c r="AC31" i="7"/>
  <c r="T47" i="5"/>
  <c r="T43" i="5"/>
  <c r="K47" i="5"/>
  <c r="K39" i="5"/>
  <c r="T30" i="5"/>
  <c r="K37" i="5"/>
  <c r="AC36" i="6"/>
  <c r="K36" i="6"/>
  <c r="AC43" i="6"/>
  <c r="N56" i="6"/>
  <c r="E64" i="5"/>
  <c r="E43" i="5"/>
  <c r="T33" i="7"/>
  <c r="J98" i="7"/>
  <c r="N46" i="5"/>
  <c r="N38" i="5"/>
  <c r="T57" i="6"/>
  <c r="H38" i="5"/>
  <c r="N59" i="6"/>
  <c r="E37" i="6"/>
  <c r="Z44" i="7"/>
  <c r="Q44" i="7"/>
  <c r="H44" i="7"/>
  <c r="Z38" i="7"/>
  <c r="Q38" i="7"/>
  <c r="Z34" i="7"/>
  <c r="Z33" i="7"/>
  <c r="Q46" i="5"/>
  <c r="H31" i="5"/>
  <c r="Z42" i="6"/>
  <c r="N39" i="6"/>
  <c r="J88" i="7"/>
  <c r="N62" i="5"/>
  <c r="N54" i="5"/>
  <c r="E38" i="5"/>
  <c r="N35" i="5"/>
  <c r="E35" i="5"/>
  <c r="O98" i="7"/>
  <c r="O99" i="7" s="1"/>
  <c r="O88" i="7"/>
  <c r="O89" i="7" s="1"/>
  <c r="Z43" i="6"/>
  <c r="H39" i="6"/>
  <c r="G44" i="15"/>
  <c r="H72" i="7"/>
  <c r="Z107" i="6"/>
  <c r="K72" i="7"/>
  <c r="T107" i="6"/>
  <c r="M103" i="6"/>
  <c r="V145" i="6" s="1"/>
  <c r="V18" i="6" s="1"/>
  <c r="AL18" i="6" s="1"/>
  <c r="X92" i="6"/>
  <c r="X87" i="6" s="1"/>
  <c r="AE92" i="6"/>
  <c r="AE90" i="6" s="1"/>
  <c r="Z92" i="6"/>
  <c r="K35" i="6"/>
  <c r="AC34" i="7"/>
  <c r="T37" i="5"/>
  <c r="W36" i="6"/>
  <c r="H39" i="5"/>
  <c r="F55" i="3"/>
  <c r="S156" i="6"/>
  <c r="AC44" i="6"/>
  <c r="K43" i="6"/>
  <c r="AC41" i="7"/>
  <c r="T41" i="7"/>
  <c r="Q57" i="6"/>
  <c r="Q52" i="6"/>
  <c r="Z44" i="6"/>
  <c r="Q30" i="7"/>
  <c r="H33" i="7"/>
  <c r="AL59" i="1"/>
  <c r="M58" i="1" s="1"/>
  <c r="N43" i="6"/>
  <c r="S157" i="6"/>
  <c r="AC39" i="6"/>
  <c r="W35" i="6"/>
  <c r="W35" i="7"/>
  <c r="E35" i="7"/>
  <c r="N156" i="6"/>
  <c r="AC42" i="6"/>
  <c r="K42" i="6"/>
  <c r="K39" i="7"/>
  <c r="W39" i="7"/>
  <c r="N38" i="7"/>
  <c r="W41" i="7"/>
  <c r="W40" i="7"/>
  <c r="E67" i="5"/>
  <c r="H43" i="6"/>
  <c r="H35" i="6"/>
  <c r="Q41" i="7"/>
  <c r="H41" i="7"/>
  <c r="Q39" i="7"/>
  <c r="H39" i="7"/>
  <c r="Z35" i="7"/>
  <c r="Q35" i="7"/>
  <c r="Z30" i="7"/>
  <c r="Q33" i="7"/>
  <c r="Q58" i="5"/>
  <c r="Y72" i="7"/>
  <c r="H92" i="6"/>
  <c r="Q107" i="6"/>
  <c r="K107" i="6"/>
  <c r="AC92" i="6"/>
  <c r="AD72" i="7"/>
  <c r="U72" i="7"/>
  <c r="AA92" i="6"/>
  <c r="AA90" i="6" s="1"/>
  <c r="R92" i="6"/>
  <c r="R88" i="6" s="1"/>
  <c r="I92" i="6"/>
  <c r="I88" i="6" s="1"/>
  <c r="AR62" i="1"/>
  <c r="Z72" i="7"/>
  <c r="AC72" i="7"/>
  <c r="AE72" i="7"/>
  <c r="V72" i="7"/>
  <c r="P72" i="7"/>
  <c r="H80" i="7"/>
  <c r="H107" i="6"/>
  <c r="K92" i="6"/>
  <c r="AC76" i="6"/>
  <c r="AD92" i="6"/>
  <c r="AD87" i="6" s="1"/>
  <c r="U92" i="6"/>
  <c r="U91" i="6" s="1"/>
  <c r="L92" i="6"/>
  <c r="L88" i="6" s="1"/>
  <c r="O107" i="6"/>
  <c r="O106" i="6" s="1"/>
  <c r="O92" i="6"/>
  <c r="O90" i="6" s="1"/>
  <c r="X72" i="7"/>
  <c r="O72" i="7"/>
  <c r="P107" i="6"/>
  <c r="P106" i="6" s="1"/>
  <c r="AA72" i="7"/>
  <c r="R72" i="7"/>
  <c r="AU62" i="1"/>
  <c r="AL60" i="1"/>
  <c r="H42" i="3"/>
  <c r="H53" i="3" s="1"/>
  <c r="F80" i="7"/>
  <c r="F76" i="7" s="1"/>
  <c r="U128" i="5"/>
  <c r="M128" i="5"/>
  <c r="M122" i="5" s="1"/>
  <c r="G128" i="5"/>
  <c r="G122" i="5" s="1"/>
  <c r="R128" i="5"/>
  <c r="V128" i="5"/>
  <c r="L128" i="5"/>
  <c r="L122" i="5" s="1"/>
  <c r="E37" i="5"/>
  <c r="E31" i="5"/>
  <c r="Q34" i="7"/>
  <c r="Z31" i="7"/>
  <c r="Q31" i="7"/>
  <c r="H31" i="7"/>
  <c r="H30" i="7"/>
  <c r="T36" i="6"/>
  <c r="G54" i="3"/>
  <c r="E65" i="5"/>
  <c r="T53" i="5"/>
  <c r="M90" i="7"/>
  <c r="N37" i="7"/>
  <c r="Q42" i="7"/>
  <c r="AC42" i="7"/>
  <c r="F56" i="3"/>
  <c r="M91" i="7"/>
  <c r="N36" i="5"/>
  <c r="N31" i="5"/>
  <c r="Q59" i="5"/>
  <c r="Q54" i="5"/>
  <c r="Q47" i="5"/>
  <c r="Q43" i="5"/>
  <c r="Q39" i="5"/>
  <c r="H47" i="5"/>
  <c r="H43" i="5"/>
  <c r="Q32" i="5"/>
  <c r="P157" i="6"/>
  <c r="P156" i="6"/>
  <c r="E41" i="6"/>
  <c r="E40" i="7"/>
  <c r="E36" i="6"/>
  <c r="E35" i="6"/>
  <c r="N44" i="7"/>
  <c r="E38" i="7"/>
  <c r="E34" i="7"/>
  <c r="N88" i="7"/>
  <c r="N89" i="7" s="1"/>
  <c r="N50" i="5"/>
  <c r="N30" i="5"/>
  <c r="H50" i="6"/>
  <c r="H44" i="6"/>
  <c r="Z41" i="6"/>
  <c r="H41" i="6"/>
  <c r="Z37" i="6"/>
  <c r="H35" i="7"/>
  <c r="Q62" i="5"/>
  <c r="Q55" i="5"/>
  <c r="Q51" i="5"/>
  <c r="Q50" i="5"/>
  <c r="Q42" i="5"/>
  <c r="H36" i="5"/>
  <c r="Q35" i="5"/>
  <c r="Q30" i="5"/>
  <c r="H30" i="5"/>
  <c r="AC35" i="7"/>
  <c r="AC30" i="7"/>
  <c r="K46" i="5"/>
  <c r="K30" i="5"/>
  <c r="N36" i="6"/>
  <c r="M93" i="7"/>
  <c r="R156" i="6"/>
  <c r="T59" i="6"/>
  <c r="K51" i="6"/>
  <c r="K44" i="6"/>
  <c r="AC40" i="7"/>
  <c r="T40" i="7"/>
  <c r="AC38" i="7"/>
  <c r="T31" i="7"/>
  <c r="T51" i="5"/>
  <c r="T39" i="5"/>
  <c r="K43" i="5"/>
  <c r="K32" i="5"/>
  <c r="H52" i="6"/>
  <c r="Z47" i="6"/>
  <c r="Q40" i="7"/>
  <c r="Q43" i="6"/>
  <c r="N35" i="6"/>
  <c r="T42" i="6"/>
  <c r="G52" i="3"/>
  <c r="W46" i="6"/>
  <c r="W42" i="6"/>
  <c r="N39" i="7"/>
  <c r="W38" i="7"/>
  <c r="E47" i="5"/>
  <c r="E36" i="5"/>
  <c r="H51" i="6"/>
  <c r="Z46" i="6"/>
  <c r="N44" i="6"/>
  <c r="R157" i="6"/>
  <c r="T52" i="6"/>
  <c r="K39" i="6"/>
  <c r="AC44" i="7"/>
  <c r="T44" i="7"/>
  <c r="K44" i="7"/>
  <c r="T35" i="7"/>
  <c r="T34" i="7"/>
  <c r="AC33" i="7"/>
  <c r="T30" i="7"/>
  <c r="K33" i="7"/>
  <c r="T58" i="5"/>
  <c r="K67" i="5"/>
  <c r="K65" i="5"/>
  <c r="K50" i="5"/>
  <c r="K42" i="5"/>
  <c r="T35" i="5"/>
  <c r="T31" i="5"/>
  <c r="K35" i="5"/>
  <c r="Q59" i="6"/>
  <c r="Z35" i="6"/>
  <c r="Z41" i="7"/>
  <c r="N37" i="6"/>
  <c r="Z38" i="6"/>
  <c r="E50" i="6"/>
  <c r="N42" i="5"/>
  <c r="E39" i="5"/>
  <c r="H46" i="6"/>
  <c r="Z39" i="6"/>
  <c r="Q37" i="5"/>
  <c r="H42" i="5"/>
  <c r="Q31" i="5"/>
  <c r="H45" i="6"/>
  <c r="N42" i="6"/>
  <c r="T59" i="5"/>
  <c r="T55" i="5"/>
  <c r="W44" i="7"/>
  <c r="W34" i="7"/>
  <c r="H47" i="6"/>
  <c r="H42" i="6"/>
  <c r="H37" i="6"/>
  <c r="E30" i="7"/>
  <c r="N58" i="5"/>
  <c r="S98" i="6"/>
  <c r="S142" i="6" s="1"/>
  <c r="AK15" i="6" s="1"/>
  <c r="Q47" i="6"/>
  <c r="S78" i="6"/>
  <c r="S129" i="6" s="1"/>
  <c r="AK6" i="6" s="1"/>
  <c r="Q35" i="6"/>
  <c r="AN85" i="17"/>
  <c r="AK85" i="17"/>
  <c r="T155" i="6"/>
  <c r="T156" i="6"/>
  <c r="N41" i="6"/>
  <c r="E39" i="7"/>
  <c r="M101" i="7"/>
  <c r="AL82" i="17"/>
  <c r="E46" i="6"/>
  <c r="E42" i="6"/>
  <c r="Q60" i="6"/>
  <c r="Q56" i="6"/>
  <c r="Z52" i="6"/>
  <c r="S97" i="6"/>
  <c r="Q97" i="6" s="1"/>
  <c r="Q141" i="6" s="1"/>
  <c r="Q46" i="6"/>
  <c r="Q155" i="6"/>
  <c r="Q157" i="6"/>
  <c r="H50" i="5"/>
  <c r="H46" i="5"/>
  <c r="E66" i="5"/>
  <c r="AO78" i="17"/>
  <c r="AL78" i="17"/>
  <c r="AC47" i="6"/>
  <c r="K47" i="6"/>
  <c r="V95" i="6"/>
  <c r="T95" i="6" s="1"/>
  <c r="T44" i="6"/>
  <c r="U82" i="6"/>
  <c r="T82" i="6" s="1"/>
  <c r="T39" i="6"/>
  <c r="J96" i="7"/>
  <c r="N47" i="6"/>
  <c r="AM87" i="17"/>
  <c r="T157" i="6"/>
  <c r="K35" i="7"/>
  <c r="T62" i="5"/>
  <c r="T54" i="5"/>
  <c r="T50" i="5"/>
  <c r="T46" i="5"/>
  <c r="T42" i="5"/>
  <c r="J97" i="7"/>
  <c r="T56" i="6"/>
  <c r="AC41" i="6"/>
  <c r="K41" i="6"/>
  <c r="AC37" i="6"/>
  <c r="K40" i="7"/>
  <c r="M96" i="7"/>
  <c r="K38" i="7"/>
  <c r="K31" i="7"/>
  <c r="T38" i="5"/>
  <c r="T36" i="5"/>
  <c r="J91" i="7"/>
  <c r="E44" i="6"/>
  <c r="W33" i="7"/>
  <c r="N33" i="7"/>
  <c r="W52" i="6"/>
  <c r="E51" i="6"/>
  <c r="E47" i="6"/>
  <c r="E43" i="6"/>
  <c r="W41" i="6"/>
  <c r="W39" i="6"/>
  <c r="E39" i="6"/>
  <c r="N41" i="7"/>
  <c r="N40" i="7"/>
  <c r="N34" i="7"/>
  <c r="N55" i="5"/>
  <c r="N47" i="5"/>
  <c r="N39" i="5"/>
  <c r="E46" i="5"/>
  <c r="Z39" i="7"/>
  <c r="H67" i="5"/>
  <c r="H65" i="5"/>
  <c r="H64" i="5"/>
  <c r="H37" i="5"/>
  <c r="T60" i="6"/>
  <c r="AC52" i="6"/>
  <c r="K52" i="6"/>
  <c r="K50" i="6"/>
  <c r="AC46" i="6"/>
  <c r="K46" i="6"/>
  <c r="K37" i="6"/>
  <c r="AC35" i="6"/>
  <c r="AC39" i="7"/>
  <c r="T39" i="7"/>
  <c r="K34" i="7"/>
  <c r="K30" i="7"/>
  <c r="K66" i="5"/>
  <c r="K64" i="5"/>
  <c r="K38" i="5"/>
  <c r="K36" i="5"/>
  <c r="T32" i="5"/>
  <c r="J101" i="7"/>
  <c r="N60" i="6"/>
  <c r="W44" i="6"/>
  <c r="W30" i="7"/>
  <c r="N30" i="7"/>
  <c r="N57" i="6"/>
  <c r="N52" i="6"/>
  <c r="W47" i="6"/>
  <c r="W43" i="6"/>
  <c r="E41" i="7"/>
  <c r="N35" i="7"/>
  <c r="W31" i="7"/>
  <c r="N31" i="7"/>
  <c r="E31" i="7"/>
  <c r="N59" i="5"/>
  <c r="N51" i="5"/>
  <c r="N43" i="5"/>
  <c r="E50" i="5"/>
  <c r="E42" i="5"/>
  <c r="N32" i="5"/>
  <c r="E32" i="5"/>
  <c r="E30" i="5"/>
  <c r="Z36" i="6"/>
  <c r="H36" i="6"/>
  <c r="Z40" i="7"/>
  <c r="H40" i="7"/>
  <c r="H38" i="7"/>
  <c r="H34" i="7"/>
  <c r="H66" i="5"/>
  <c r="Q38" i="5"/>
  <c r="Q36" i="5"/>
  <c r="H32" i="5"/>
  <c r="AN74" i="17"/>
  <c r="AK74" i="17"/>
  <c r="H38" i="6"/>
  <c r="E45" i="6"/>
  <c r="Q36" i="6"/>
  <c r="Q39" i="6"/>
  <c r="Q42" i="6"/>
  <c r="Q44" i="6"/>
  <c r="T35" i="6"/>
  <c r="T41" i="6"/>
  <c r="T46" i="6"/>
  <c r="T47" i="6"/>
  <c r="AN72" i="17"/>
  <c r="AP71" i="17"/>
  <c r="N10" i="12"/>
  <c r="P10" i="12" s="1"/>
  <c r="N157" i="6"/>
  <c r="O157" i="6"/>
  <c r="G53" i="7"/>
  <c r="G54" i="7" s="1"/>
  <c r="R58" i="6"/>
  <c r="Q58" i="6" s="1"/>
  <c r="Q37" i="6"/>
  <c r="Q41" i="6"/>
  <c r="N46" i="6"/>
  <c r="T37" i="6"/>
  <c r="T43" i="6"/>
  <c r="Q61" i="6"/>
  <c r="E49" i="5"/>
  <c r="AI71" i="17"/>
  <c r="N7" i="12"/>
  <c r="P7" i="12" s="1"/>
  <c r="O156" i="6"/>
  <c r="J93" i="7"/>
  <c r="O45" i="6"/>
  <c r="N45" i="6" s="1"/>
  <c r="V80" i="7"/>
  <c r="V76" i="7" s="1"/>
  <c r="P80" i="7"/>
  <c r="P76" i="7" s="1"/>
  <c r="Z80" i="7"/>
  <c r="O80" i="7"/>
  <c r="O76" i="7" s="1"/>
  <c r="AA80" i="7"/>
  <c r="AA76" i="7" s="1"/>
  <c r="R80" i="7"/>
  <c r="R74" i="7" s="1"/>
  <c r="I80" i="7"/>
  <c r="I76" i="7" s="1"/>
  <c r="Q80" i="7"/>
  <c r="AC80" i="7"/>
  <c r="AE80" i="7"/>
  <c r="AE74" i="7" s="1"/>
  <c r="M80" i="7"/>
  <c r="M76" i="7" s="1"/>
  <c r="K80" i="7"/>
  <c r="T80" i="7"/>
  <c r="AE76" i="7"/>
  <c r="AD80" i="7"/>
  <c r="AD74" i="7" s="1"/>
  <c r="U80" i="7"/>
  <c r="U74" i="7" s="1"/>
  <c r="L80" i="7"/>
  <c r="L74" i="7" s="1"/>
  <c r="Y80" i="7"/>
  <c r="Y76" i="7" s="1"/>
  <c r="G80" i="7"/>
  <c r="G76" i="7" s="1"/>
  <c r="Q76" i="6"/>
  <c r="K76" i="6"/>
  <c r="F76" i="6"/>
  <c r="F74" i="6" s="1"/>
  <c r="AB75" i="6"/>
  <c r="H76" i="6"/>
  <c r="AA76" i="6"/>
  <c r="AA74" i="6" s="1"/>
  <c r="R76" i="6"/>
  <c r="R70" i="6" s="1"/>
  <c r="P140" i="6"/>
  <c r="AJ13" i="6" s="1"/>
  <c r="D6" i="14"/>
  <c r="V132" i="6"/>
  <c r="AL9" i="6" s="1"/>
  <c r="P132" i="6"/>
  <c r="AJ9" i="6" s="1"/>
  <c r="P131" i="6"/>
  <c r="AJ8" i="6" s="1"/>
  <c r="Q85" i="6"/>
  <c r="Q134" i="6" s="1"/>
  <c r="S134" i="6"/>
  <c r="AK11" i="6" s="1"/>
  <c r="T80" i="6"/>
  <c r="T78" i="6"/>
  <c r="T129" i="6" s="1"/>
  <c r="V129" i="6"/>
  <c r="AL6" i="6" s="1"/>
  <c r="S131" i="6"/>
  <c r="AK8" i="6" s="1"/>
  <c r="Q79" i="6"/>
  <c r="Q130" i="6" s="1"/>
  <c r="S130" i="6"/>
  <c r="AK7" i="6" s="1"/>
  <c r="T94" i="6"/>
  <c r="T139" i="6" s="1"/>
  <c r="T85" i="6"/>
  <c r="T134" i="6" s="1"/>
  <c r="T84" i="6"/>
  <c r="T133" i="6" s="1"/>
  <c r="T79" i="6"/>
  <c r="T130" i="6" s="1"/>
  <c r="N97" i="6"/>
  <c r="N141" i="6" s="1"/>
  <c r="N85" i="6"/>
  <c r="N134" i="6" s="1"/>
  <c r="N82" i="6"/>
  <c r="N80" i="6"/>
  <c r="N79" i="6"/>
  <c r="N130" i="6" s="1"/>
  <c r="N78" i="6"/>
  <c r="N129" i="6" s="1"/>
  <c r="R45" i="6"/>
  <c r="S96" i="6"/>
  <c r="S140" i="6" s="1"/>
  <c r="AK13" i="6" s="1"/>
  <c r="Q95" i="6"/>
  <c r="Q94" i="6"/>
  <c r="Q139" i="6" s="1"/>
  <c r="S74" i="6"/>
  <c r="S84" i="6"/>
  <c r="R80" i="6"/>
  <c r="Q80" i="6" s="1"/>
  <c r="V98" i="6"/>
  <c r="V97" i="6"/>
  <c r="V96" i="6"/>
  <c r="U38" i="6"/>
  <c r="V81" i="6"/>
  <c r="V131" i="6" s="1"/>
  <c r="AL8" i="6" s="1"/>
  <c r="N98" i="6"/>
  <c r="N142" i="6" s="1"/>
  <c r="N95" i="6"/>
  <c r="N84" i="6"/>
  <c r="N133" i="6" s="1"/>
  <c r="R40" i="6"/>
  <c r="R83" i="6" s="1"/>
  <c r="R132" i="6" s="1"/>
  <c r="S83" i="6"/>
  <c r="S132" i="6" s="1"/>
  <c r="AK9" i="6" s="1"/>
  <c r="Q82" i="6"/>
  <c r="L46" i="22"/>
  <c r="L43" i="22"/>
  <c r="L41" i="22"/>
  <c r="L39" i="22"/>
  <c r="L118" i="1"/>
  <c r="N97" i="1"/>
  <c r="U107" i="6"/>
  <c r="U106" i="6" s="1"/>
  <c r="V107" i="6"/>
  <c r="V106" i="6" s="1"/>
  <c r="L76" i="6"/>
  <c r="L72" i="6" s="1"/>
  <c r="M76" i="6"/>
  <c r="M75" i="6" s="1"/>
  <c r="Y92" i="6"/>
  <c r="Y89" i="6" s="1"/>
  <c r="P92" i="6"/>
  <c r="P89" i="6" s="1"/>
  <c r="G92" i="6"/>
  <c r="G91" i="6" s="1"/>
  <c r="G76" i="6"/>
  <c r="G72" i="6" s="1"/>
  <c r="AL85" i="1"/>
  <c r="AL96" i="1"/>
  <c r="AL86" i="1"/>
  <c r="AL84" i="1"/>
  <c r="AL87" i="1"/>
  <c r="Z76" i="6"/>
  <c r="T76" i="6"/>
  <c r="Y76" i="6"/>
  <c r="Y70" i="6" s="1"/>
  <c r="J99" i="7"/>
  <c r="E34" i="5"/>
  <c r="E40" i="5"/>
  <c r="E41" i="5"/>
  <c r="E44" i="5"/>
  <c r="E45" i="5"/>
  <c r="E48" i="5"/>
  <c r="H34" i="5"/>
  <c r="K45" i="5"/>
  <c r="N33" i="5"/>
  <c r="N52" i="5"/>
  <c r="N56" i="5"/>
  <c r="N60" i="5"/>
  <c r="T45" i="5"/>
  <c r="T61" i="5"/>
  <c r="G89" i="7"/>
  <c r="G99" i="7"/>
  <c r="M100" i="7"/>
  <c r="E36" i="7"/>
  <c r="E43" i="7"/>
  <c r="H32" i="7"/>
  <c r="H36" i="7"/>
  <c r="H42" i="7"/>
  <c r="K37" i="7"/>
  <c r="N32" i="7"/>
  <c r="N36" i="7"/>
  <c r="Q43" i="7"/>
  <c r="T37" i="7"/>
  <c r="W32" i="7"/>
  <c r="Z36" i="7"/>
  <c r="Z37" i="7"/>
  <c r="Z42" i="7"/>
  <c r="Z43" i="7"/>
  <c r="D154" i="24"/>
  <c r="M41" i="1"/>
  <c r="T6" i="20"/>
  <c r="L15" i="2" s="1"/>
  <c r="X107" i="6"/>
  <c r="X106" i="6" s="1"/>
  <c r="F107" i="6"/>
  <c r="F106" i="6" s="1"/>
  <c r="AL79" i="1"/>
  <c r="AL72" i="1"/>
  <c r="M72" i="1" s="1"/>
  <c r="Q128" i="5"/>
  <c r="F128" i="5"/>
  <c r="F122" i="5" s="1"/>
  <c r="Y107" i="6"/>
  <c r="Y106" i="6" s="1"/>
  <c r="G107" i="6"/>
  <c r="G106" i="6" s="1"/>
  <c r="J31" i="22"/>
  <c r="E50" i="24"/>
  <c r="L74" i="22"/>
  <c r="J74" i="22"/>
  <c r="K74" i="22"/>
  <c r="H74" i="22"/>
  <c r="H52" i="2"/>
  <c r="L62" i="22"/>
  <c r="K66" i="22"/>
  <c r="H66" i="22"/>
  <c r="L66" i="22"/>
  <c r="J66" i="22"/>
  <c r="K68" i="22"/>
  <c r="H68" i="22"/>
  <c r="L68" i="22"/>
  <c r="J68" i="22"/>
  <c r="J128" i="22"/>
  <c r="L128" i="22"/>
  <c r="K128" i="22"/>
  <c r="K71" i="22"/>
  <c r="H71" i="22"/>
  <c r="L71" i="22"/>
  <c r="J71" i="22"/>
  <c r="L67" i="22"/>
  <c r="J67" i="22"/>
  <c r="K67" i="22"/>
  <c r="H67" i="22"/>
  <c r="AA40" i="22"/>
  <c r="AF77" i="7"/>
  <c r="AB77" i="7" s="1"/>
  <c r="I10" i="22"/>
  <c r="AA10" i="22" s="1"/>
  <c r="AA8" i="22"/>
  <c r="H54" i="22"/>
  <c r="H53" i="22"/>
  <c r="G35" i="1"/>
  <c r="I41" i="1"/>
  <c r="H43" i="2"/>
  <c r="C70" i="2"/>
  <c r="AL108" i="1"/>
  <c r="AL103" i="1"/>
  <c r="AL107" i="1"/>
  <c r="AL109" i="1"/>
  <c r="J134" i="18"/>
  <c r="L49" i="22"/>
  <c r="J48" i="22"/>
  <c r="K48" i="22"/>
  <c r="L47" i="22"/>
  <c r="K47" i="22"/>
  <c r="J46" i="22"/>
  <c r="K46" i="22"/>
  <c r="L45" i="22"/>
  <c r="K43" i="22"/>
  <c r="J42" i="22"/>
  <c r="L42" i="22"/>
  <c r="K42" i="22"/>
  <c r="J40" i="22"/>
  <c r="K40" i="22"/>
  <c r="J38" i="22"/>
  <c r="J36" i="22"/>
  <c r="L36" i="22"/>
  <c r="J34" i="22"/>
  <c r="L34" i="22"/>
  <c r="J32" i="22"/>
  <c r="L32" i="22"/>
  <c r="J27" i="22"/>
  <c r="L27" i="22"/>
  <c r="K55" i="2"/>
  <c r="J106" i="6"/>
  <c r="H54" i="2"/>
  <c r="K41" i="2"/>
  <c r="H57" i="2"/>
  <c r="AC107" i="6"/>
  <c r="C27" i="2"/>
  <c r="U113" i="6"/>
  <c r="U112" i="6"/>
  <c r="AD107" i="6"/>
  <c r="AD106" i="6" s="1"/>
  <c r="AE107" i="6"/>
  <c r="AE106" i="6" s="1"/>
  <c r="L107" i="6"/>
  <c r="L106" i="6" s="1"/>
  <c r="M107" i="6"/>
  <c r="M106" i="6" s="1"/>
  <c r="L103" i="6"/>
  <c r="U145" i="6" s="1"/>
  <c r="U18" i="6" s="1"/>
  <c r="AD76" i="6"/>
  <c r="AD72" i="6" s="1"/>
  <c r="AE76" i="6"/>
  <c r="AE75" i="6" s="1"/>
  <c r="U76" i="6"/>
  <c r="U70" i="6" s="1"/>
  <c r="V76" i="6"/>
  <c r="V74" i="6" s="1"/>
  <c r="L72" i="7"/>
  <c r="M72" i="7"/>
  <c r="K128" i="5"/>
  <c r="K122" i="5" s="1"/>
  <c r="F103" i="6"/>
  <c r="O145" i="6" s="1"/>
  <c r="O18" i="6" s="1"/>
  <c r="X76" i="6"/>
  <c r="X72" i="6" s="1"/>
  <c r="O76" i="6"/>
  <c r="O74" i="6" s="1"/>
  <c r="F72" i="7"/>
  <c r="E122" i="5"/>
  <c r="O128" i="5"/>
  <c r="G103" i="6"/>
  <c r="P145" i="6" s="1"/>
  <c r="P18" i="6" s="1"/>
  <c r="AJ18" i="6" s="1"/>
  <c r="P76" i="6"/>
  <c r="P68" i="6" s="1"/>
  <c r="P128" i="5"/>
  <c r="AB73" i="6"/>
  <c r="S71" i="6"/>
  <c r="H128" i="5"/>
  <c r="H122" i="5" s="1"/>
  <c r="N9" i="8"/>
  <c r="V9" i="8"/>
  <c r="Q9" i="8"/>
  <c r="S9" i="8" s="1"/>
  <c r="T6" i="8"/>
  <c r="V6" i="8" s="1"/>
  <c r="Q6" i="8"/>
  <c r="S6" i="8" s="1"/>
  <c r="N7" i="8"/>
  <c r="P7" i="8" s="1"/>
  <c r="T7" i="8"/>
  <c r="V7" i="8" s="1"/>
  <c r="Q7" i="8"/>
  <c r="S7" i="8" s="1"/>
  <c r="T8" i="8"/>
  <c r="V8" i="8" s="1"/>
  <c r="Q8" i="8"/>
  <c r="S8" i="8" s="1"/>
  <c r="N8" i="8"/>
  <c r="AJ246" i="1" s="1"/>
  <c r="E33" i="5"/>
  <c r="H33" i="5"/>
  <c r="H40" i="5"/>
  <c r="H41" i="5"/>
  <c r="H44" i="5"/>
  <c r="H45" i="5"/>
  <c r="H48" i="5"/>
  <c r="H49" i="5"/>
  <c r="K33" i="5"/>
  <c r="K34" i="5"/>
  <c r="K40" i="5"/>
  <c r="K41" i="5"/>
  <c r="K44" i="5"/>
  <c r="K48" i="5"/>
  <c r="K49" i="5"/>
  <c r="N34" i="5"/>
  <c r="N40" i="5"/>
  <c r="N41" i="5"/>
  <c r="N44" i="5"/>
  <c r="N45" i="5"/>
  <c r="N48" i="5"/>
  <c r="N49" i="5"/>
  <c r="N53" i="5"/>
  <c r="N57" i="5"/>
  <c r="N61" i="5"/>
  <c r="Q33" i="5"/>
  <c r="Q34" i="5"/>
  <c r="Q40" i="5"/>
  <c r="Q41" i="5"/>
  <c r="Q44" i="5"/>
  <c r="Q45" i="5"/>
  <c r="Q48" i="5"/>
  <c r="Q49" i="5"/>
  <c r="Q52" i="5"/>
  <c r="Q53" i="5"/>
  <c r="Q56" i="5"/>
  <c r="Q57" i="5"/>
  <c r="Q60" i="5"/>
  <c r="Q61" i="5"/>
  <c r="T33" i="5"/>
  <c r="T34" i="5"/>
  <c r="T40" i="5"/>
  <c r="T41" i="5"/>
  <c r="T44" i="5"/>
  <c r="T48" i="5"/>
  <c r="T49" i="5"/>
  <c r="T52" i="5"/>
  <c r="T56" i="5"/>
  <c r="T57" i="5"/>
  <c r="T60" i="5"/>
  <c r="G90" i="7"/>
  <c r="G94" i="7"/>
  <c r="G95" i="7"/>
  <c r="G100" i="7"/>
  <c r="J89" i="7"/>
  <c r="J90" i="7"/>
  <c r="J94" i="7"/>
  <c r="J95" i="7"/>
  <c r="J100" i="7"/>
  <c r="M89" i="7"/>
  <c r="M94" i="7"/>
  <c r="M95" i="7"/>
  <c r="M99" i="7"/>
  <c r="E32" i="7"/>
  <c r="E37" i="7"/>
  <c r="E42" i="7"/>
  <c r="H37" i="7"/>
  <c r="H43" i="7"/>
  <c r="K32" i="7"/>
  <c r="K36" i="7"/>
  <c r="K42" i="7"/>
  <c r="K43" i="7"/>
  <c r="N42" i="7"/>
  <c r="N43" i="7"/>
  <c r="Q32" i="7"/>
  <c r="Q36" i="7"/>
  <c r="Q37" i="7"/>
  <c r="T32" i="7"/>
  <c r="T36" i="7"/>
  <c r="T42" i="7"/>
  <c r="T43" i="7"/>
  <c r="W36" i="7"/>
  <c r="W37" i="7"/>
  <c r="W42" i="7"/>
  <c r="W43" i="7"/>
  <c r="Z32" i="7"/>
  <c r="AC32" i="7"/>
  <c r="AC36" i="7"/>
  <c r="AC37" i="7"/>
  <c r="AC43" i="7"/>
  <c r="J108" i="21"/>
  <c r="AG12" i="30" s="1"/>
  <c r="K39" i="22"/>
  <c r="K38" i="22"/>
  <c r="K36" i="22"/>
  <c r="K35" i="22"/>
  <c r="K33" i="22"/>
  <c r="K32" i="22"/>
  <c r="K31" i="22"/>
  <c r="K26" i="22"/>
  <c r="AI72" i="17"/>
  <c r="AM75" i="17"/>
  <c r="AK81" i="17"/>
  <c r="AM83" i="17"/>
  <c r="AL86" i="17"/>
  <c r="C30" i="2"/>
  <c r="C73" i="2"/>
  <c r="J31" i="1"/>
  <c r="K61" i="2"/>
  <c r="G44" i="3"/>
  <c r="G55" i="3" s="1"/>
  <c r="H44" i="3"/>
  <c r="H55" i="3" s="1"/>
  <c r="J118" i="18"/>
  <c r="J116" i="18"/>
  <c r="J106" i="18"/>
  <c r="J102" i="18"/>
  <c r="J98" i="18"/>
  <c r="J94" i="18"/>
  <c r="J91" i="18"/>
  <c r="J87" i="18"/>
  <c r="J85" i="18"/>
  <c r="J78" i="18"/>
  <c r="J77" i="18"/>
  <c r="J75" i="18"/>
  <c r="J74" i="18"/>
  <c r="J91" i="6"/>
  <c r="AG150" i="1"/>
  <c r="S88" i="6"/>
  <c r="J88" i="6"/>
  <c r="H59" i="2"/>
  <c r="H42" i="2"/>
  <c r="H48" i="2"/>
  <c r="H46" i="2"/>
  <c r="H44" i="2"/>
  <c r="K46" i="2"/>
  <c r="H53" i="2"/>
  <c r="H58" i="2"/>
  <c r="K53" i="2"/>
  <c r="K58" i="2"/>
  <c r="K59" i="2"/>
  <c r="K42" i="2"/>
  <c r="K48" i="2"/>
  <c r="N43" i="2"/>
  <c r="N42" i="2"/>
  <c r="N41" i="2"/>
  <c r="N47" i="2"/>
  <c r="N46" i="2"/>
  <c r="N49" i="2"/>
  <c r="I76" i="6"/>
  <c r="I74" i="6" s="1"/>
  <c r="J69" i="6"/>
  <c r="C118" i="5"/>
  <c r="O45" i="3"/>
  <c r="O56" i="3" s="1"/>
  <c r="F47" i="15"/>
  <c r="AG117" i="6"/>
  <c r="H45" i="3"/>
  <c r="H56" i="3" s="1"/>
  <c r="H43" i="3"/>
  <c r="H54" i="3" s="1"/>
  <c r="H41" i="3"/>
  <c r="H52" i="3" s="1"/>
  <c r="J87" i="6"/>
  <c r="F68" i="15"/>
  <c r="N54" i="2"/>
  <c r="N52" i="2"/>
  <c r="N58" i="2"/>
  <c r="N57" i="2"/>
  <c r="AB69" i="6"/>
  <c r="S69" i="6"/>
  <c r="N93" i="7"/>
  <c r="N94" i="7" s="1"/>
  <c r="AB56" i="7"/>
  <c r="AB57" i="7" s="1"/>
  <c r="S79" i="5"/>
  <c r="S80" i="5" s="1"/>
  <c r="L56" i="7"/>
  <c r="L57" i="7" s="1"/>
  <c r="U88" i="5"/>
  <c r="U89" i="5" s="1"/>
  <c r="M86" i="5"/>
  <c r="M87" i="5" s="1"/>
  <c r="U79" i="5"/>
  <c r="U80" i="5" s="1"/>
  <c r="M79" i="5"/>
  <c r="M80" i="5" s="1"/>
  <c r="O79" i="5"/>
  <c r="O80" i="5" s="1"/>
  <c r="Q88" i="7"/>
  <c r="Q89" i="7" s="1"/>
  <c r="J79" i="5"/>
  <c r="J80" i="5" s="1"/>
  <c r="O92" i="5"/>
  <c r="O93" i="5" s="1"/>
  <c r="O86" i="5"/>
  <c r="O87" i="5" s="1"/>
  <c r="O84" i="5"/>
  <c r="O85" i="5" s="1"/>
  <c r="F79" i="5"/>
  <c r="F80" i="5" s="1"/>
  <c r="P92" i="5"/>
  <c r="P93" i="5" s="1"/>
  <c r="P88" i="5"/>
  <c r="P89" i="5" s="1"/>
  <c r="P86" i="5"/>
  <c r="P87" i="5" s="1"/>
  <c r="P84" i="5"/>
  <c r="P85" i="5" s="1"/>
  <c r="P79" i="5"/>
  <c r="P80" i="5" s="1"/>
  <c r="J89" i="6"/>
  <c r="J74" i="6"/>
  <c r="R38" i="6"/>
  <c r="R81" i="6" s="1"/>
  <c r="Q81" i="6" s="1"/>
  <c r="J71" i="6"/>
  <c r="AB60" i="7"/>
  <c r="AB61" i="7" s="1"/>
  <c r="Q93" i="7"/>
  <c r="Q94" i="7" s="1"/>
  <c r="AA56" i="7"/>
  <c r="AA57" i="7" s="1"/>
  <c r="J56" i="7"/>
  <c r="J57" i="7" s="1"/>
  <c r="R94" i="5"/>
  <c r="R95" i="5" s="1"/>
  <c r="R92" i="5"/>
  <c r="R93" i="5" s="1"/>
  <c r="R86" i="5"/>
  <c r="R87" i="5" s="1"/>
  <c r="S84" i="5"/>
  <c r="S85" i="5" s="1"/>
  <c r="I88" i="5"/>
  <c r="I89" i="5" s="1"/>
  <c r="J88" i="5"/>
  <c r="J89" i="5" s="1"/>
  <c r="I86" i="5"/>
  <c r="I87" i="5" s="1"/>
  <c r="J86" i="5"/>
  <c r="J87" i="5" s="1"/>
  <c r="I84" i="5"/>
  <c r="I85" i="5" s="1"/>
  <c r="R79" i="5"/>
  <c r="R80" i="5" s="1"/>
  <c r="W38" i="6"/>
  <c r="AK77" i="17"/>
  <c r="AM79" i="17"/>
  <c r="AM81" i="17"/>
  <c r="AK83" i="17"/>
  <c r="AL84" i="17"/>
  <c r="AM85" i="17"/>
  <c r="AK87" i="17"/>
  <c r="O40" i="6"/>
  <c r="O83" i="6" s="1"/>
  <c r="N83" i="6" s="1"/>
  <c r="F40" i="6"/>
  <c r="E40" i="6" s="1"/>
  <c r="O38" i="6"/>
  <c r="O81" i="6" s="1"/>
  <c r="N81" i="6" s="1"/>
  <c r="AL74" i="17"/>
  <c r="U88" i="7"/>
  <c r="U89" i="7" s="1"/>
  <c r="G86" i="5"/>
  <c r="G87" i="5" s="1"/>
  <c r="G79" i="5"/>
  <c r="G80" i="5" s="1"/>
  <c r="AE48" i="1"/>
  <c r="AE49" i="1"/>
  <c r="L49" i="1" s="1"/>
  <c r="H75" i="22"/>
  <c r="H51" i="15"/>
  <c r="N98" i="7"/>
  <c r="N99" i="7" s="1"/>
  <c r="G88" i="5"/>
  <c r="G89" i="5" s="1"/>
  <c r="Z45" i="6"/>
  <c r="AK75" i="17"/>
  <c r="AL76" i="17"/>
  <c r="AM77" i="17"/>
  <c r="AK79" i="17"/>
  <c r="AL80" i="17"/>
  <c r="F38" i="6"/>
  <c r="L136" i="18"/>
  <c r="L91" i="18"/>
  <c r="L89" i="18"/>
  <c r="AE53" i="7"/>
  <c r="AE54" i="7" s="1"/>
  <c r="AD56" i="7"/>
  <c r="AD57" i="7" s="1"/>
  <c r="V56" i="7"/>
  <c r="V57" i="7" s="1"/>
  <c r="T88" i="7"/>
  <c r="T89" i="7" s="1"/>
  <c r="AD53" i="7"/>
  <c r="AD54" i="7" s="1"/>
  <c r="U92" i="5"/>
  <c r="U93" i="5" s="1"/>
  <c r="V90" i="5"/>
  <c r="V91" i="5" s="1"/>
  <c r="F56" i="7"/>
  <c r="F57" i="7" s="1"/>
  <c r="Y60" i="7"/>
  <c r="Y61" i="7" s="1"/>
  <c r="G96" i="7"/>
  <c r="P56" i="7"/>
  <c r="P57" i="7" s="1"/>
  <c r="G56" i="7"/>
  <c r="G57" i="7" s="1"/>
  <c r="J68" i="6"/>
  <c r="J53" i="7"/>
  <c r="J54" i="7" s="1"/>
  <c r="AN163" i="18"/>
  <c r="N61" i="2"/>
  <c r="N55" i="2"/>
  <c r="U98" i="7"/>
  <c r="U99" i="7" s="1"/>
  <c r="AD40" i="6"/>
  <c r="U40" i="6"/>
  <c r="U83" i="6" s="1"/>
  <c r="T83" i="6" s="1"/>
  <c r="L40" i="6"/>
  <c r="AD38" i="6"/>
  <c r="U60" i="7"/>
  <c r="U61" i="7" s="1"/>
  <c r="M60" i="7"/>
  <c r="M61" i="7" s="1"/>
  <c r="M53" i="7"/>
  <c r="M54" i="7" s="1"/>
  <c r="U84" i="5"/>
  <c r="U85" i="5" s="1"/>
  <c r="L88" i="5"/>
  <c r="L89" i="5" s="1"/>
  <c r="M88" i="5"/>
  <c r="M89" i="5" s="1"/>
  <c r="L86" i="5"/>
  <c r="L87" i="5" s="1"/>
  <c r="X56" i="7"/>
  <c r="X57" i="7" s="1"/>
  <c r="O56" i="7"/>
  <c r="O57" i="7" s="1"/>
  <c r="O94" i="5"/>
  <c r="O95" i="5" s="1"/>
  <c r="G98" i="7"/>
  <c r="G101" i="7"/>
  <c r="G91" i="7"/>
  <c r="Y53" i="7"/>
  <c r="Y54" i="7" s="1"/>
  <c r="P53" i="7"/>
  <c r="P54" i="7" s="1"/>
  <c r="AN160" i="18"/>
  <c r="J72" i="6"/>
  <c r="Q98" i="7"/>
  <c r="Q99" i="7" s="1"/>
  <c r="AA60" i="7"/>
  <c r="AA61" i="7" s="1"/>
  <c r="J60" i="7"/>
  <c r="J61" i="7" s="1"/>
  <c r="J79" i="7" s="1"/>
  <c r="R53" i="7"/>
  <c r="R54" i="7" s="1"/>
  <c r="I53" i="7"/>
  <c r="I54" i="7" s="1"/>
  <c r="AB125" i="5"/>
  <c r="W125" i="5" s="1"/>
  <c r="J125" i="5" s="1"/>
  <c r="AH105" i="21"/>
  <c r="AH104" i="21"/>
  <c r="AH103" i="21"/>
  <c r="AH102" i="21"/>
  <c r="L38" i="6"/>
  <c r="L123" i="18"/>
  <c r="L122" i="18"/>
  <c r="L121" i="18"/>
  <c r="L120" i="18"/>
  <c r="L118" i="18"/>
  <c r="L117" i="18"/>
  <c r="AD45" i="6"/>
  <c r="U45" i="6"/>
  <c r="U96" i="6" s="1"/>
  <c r="U140" i="6" s="1"/>
  <c r="L45" i="6"/>
  <c r="J90" i="6"/>
  <c r="R60" i="7"/>
  <c r="R61" i="7" s="1"/>
  <c r="S56" i="7"/>
  <c r="S57" i="7" s="1"/>
  <c r="I56" i="7"/>
  <c r="I57" i="7" s="1"/>
  <c r="AA53" i="7"/>
  <c r="AA54" i="7" s="1"/>
  <c r="AB53" i="7"/>
  <c r="AB54" i="7" s="1"/>
  <c r="S94" i="5"/>
  <c r="S95" i="5" s="1"/>
  <c r="S92" i="5"/>
  <c r="S93" i="5" s="1"/>
  <c r="R90" i="5"/>
  <c r="R91" i="5" s="1"/>
  <c r="S90" i="5"/>
  <c r="S91" i="5" s="1"/>
  <c r="S88" i="5"/>
  <c r="S89" i="5" s="1"/>
  <c r="AE60" i="7"/>
  <c r="AE61" i="7" s="1"/>
  <c r="T93" i="7"/>
  <c r="T94" i="7" s="1"/>
  <c r="U53" i="7"/>
  <c r="U54" i="7" s="1"/>
  <c r="V53" i="7"/>
  <c r="V54" i="7" s="1"/>
  <c r="L53" i="7"/>
  <c r="L54" i="7" s="1"/>
  <c r="V94" i="5"/>
  <c r="V95" i="5" s="1"/>
  <c r="V86" i="5"/>
  <c r="V87" i="5" s="1"/>
  <c r="L84" i="5"/>
  <c r="L85" i="5" s="1"/>
  <c r="M84" i="5"/>
  <c r="M85" i="5" s="1"/>
  <c r="O113" i="6"/>
  <c r="R98" i="7"/>
  <c r="R99" i="7" s="1"/>
  <c r="X60" i="7"/>
  <c r="X61" i="7" s="1"/>
  <c r="O60" i="7"/>
  <c r="O61" i="7" s="1"/>
  <c r="F60" i="7"/>
  <c r="F61" i="7" s="1"/>
  <c r="O53" i="7"/>
  <c r="O54" i="7" s="1"/>
  <c r="F53" i="7"/>
  <c r="F54" i="7" s="1"/>
  <c r="O90" i="5"/>
  <c r="O91" i="5" s="1"/>
  <c r="O88" i="5"/>
  <c r="O89" i="5" s="1"/>
  <c r="G60" i="7"/>
  <c r="G61" i="7" s="1"/>
  <c r="G97" i="7"/>
  <c r="G93" i="7"/>
  <c r="G88" i="7"/>
  <c r="P94" i="5"/>
  <c r="P95" i="5" s="1"/>
  <c r="J103" i="6"/>
  <c r="S145" i="6" s="1"/>
  <c r="S18" i="6" s="1"/>
  <c r="AK18" i="6" s="1"/>
  <c r="J73" i="6"/>
  <c r="J70" i="6"/>
  <c r="L116" i="18"/>
  <c r="L115" i="18"/>
  <c r="L109" i="18"/>
  <c r="L108" i="18"/>
  <c r="L107" i="18"/>
  <c r="L106" i="18"/>
  <c r="L105" i="18"/>
  <c r="L103" i="18"/>
  <c r="L102" i="18"/>
  <c r="L99" i="18"/>
  <c r="L98" i="18"/>
  <c r="L97" i="18"/>
  <c r="L95" i="18"/>
  <c r="L94" i="18"/>
  <c r="L93" i="18"/>
  <c r="L87" i="18"/>
  <c r="L86" i="18"/>
  <c r="L85" i="18"/>
  <c r="L83" i="18"/>
  <c r="L82" i="18"/>
  <c r="L81" i="18"/>
  <c r="L80" i="18"/>
  <c r="L78" i="18"/>
  <c r="L77" i="18"/>
  <c r="L75" i="18"/>
  <c r="L74" i="18"/>
  <c r="L73" i="18"/>
  <c r="L133" i="18"/>
  <c r="L132" i="18"/>
  <c r="L131" i="18"/>
  <c r="L134" i="18"/>
  <c r="F52" i="15"/>
  <c r="K49" i="2"/>
  <c r="K44" i="2"/>
  <c r="AM74" i="17"/>
  <c r="AL75" i="17"/>
  <c r="AK76" i="17"/>
  <c r="AM76" i="17"/>
  <c r="AL77" i="17"/>
  <c r="AK78" i="17"/>
  <c r="AM78" i="17"/>
  <c r="AL79" i="17"/>
  <c r="AK80" i="17"/>
  <c r="AM80" i="17"/>
  <c r="AL81" i="17"/>
  <c r="AK82" i="17"/>
  <c r="AM82" i="17"/>
  <c r="AL83" i="17"/>
  <c r="AK84" i="17"/>
  <c r="AM84" i="17"/>
  <c r="AL85" i="17"/>
  <c r="AK86" i="17"/>
  <c r="AM86" i="17"/>
  <c r="AL87" i="17"/>
  <c r="T98" i="7"/>
  <c r="T99" i="7" s="1"/>
  <c r="AD60" i="7"/>
  <c r="AD61" i="7" s="1"/>
  <c r="V60" i="7"/>
  <c r="V61" i="7" s="1"/>
  <c r="L60" i="7"/>
  <c r="L61" i="7" s="1"/>
  <c r="N53" i="2"/>
  <c r="N59" i="2"/>
  <c r="N48" i="2"/>
  <c r="N44" i="2"/>
  <c r="U93" i="7"/>
  <c r="U94" i="7" s="1"/>
  <c r="L43" i="3"/>
  <c r="L54" i="3" s="1"/>
  <c r="M45" i="3"/>
  <c r="M56" i="3" s="1"/>
  <c r="P43" i="3"/>
  <c r="P54" i="3" s="1"/>
  <c r="AE56" i="7"/>
  <c r="AE57" i="7" s="1"/>
  <c r="U56" i="7"/>
  <c r="U57" i="7" s="1"/>
  <c r="M56" i="7"/>
  <c r="M57" i="7" s="1"/>
  <c r="U94" i="5"/>
  <c r="U95" i="5" s="1"/>
  <c r="V92" i="5"/>
  <c r="V93" i="5" s="1"/>
  <c r="U90" i="5"/>
  <c r="U91" i="5" s="1"/>
  <c r="V88" i="5"/>
  <c r="V89" i="5" s="1"/>
  <c r="U86" i="5"/>
  <c r="U87" i="5" s="1"/>
  <c r="V84" i="5"/>
  <c r="V85" i="5" s="1"/>
  <c r="V79" i="5"/>
  <c r="V80" i="5" s="1"/>
  <c r="L79" i="5"/>
  <c r="L80" i="5" s="1"/>
  <c r="AG114" i="6"/>
  <c r="O114" i="6" s="1"/>
  <c r="R93" i="7"/>
  <c r="R94" i="7" s="1"/>
  <c r="R88" i="7"/>
  <c r="R89" i="7" s="1"/>
  <c r="X45" i="6"/>
  <c r="X53" i="7"/>
  <c r="X54" i="7" s="1"/>
  <c r="F88" i="5"/>
  <c r="F89" i="5" s="1"/>
  <c r="F86" i="5"/>
  <c r="F87" i="5" s="1"/>
  <c r="F84" i="5"/>
  <c r="F85" i="5" s="1"/>
  <c r="P60" i="7"/>
  <c r="P61" i="7" s="1"/>
  <c r="Y56" i="7"/>
  <c r="Y57" i="7" s="1"/>
  <c r="P90" i="5"/>
  <c r="P91" i="5" s="1"/>
  <c r="G84" i="5"/>
  <c r="G85" i="5" s="1"/>
  <c r="AA107" i="6"/>
  <c r="AA106" i="6" s="1"/>
  <c r="AB106" i="6"/>
  <c r="R107" i="6"/>
  <c r="R106" i="6" s="1"/>
  <c r="S106" i="6"/>
  <c r="I107" i="6"/>
  <c r="I106" i="6" s="1"/>
  <c r="I103" i="6"/>
  <c r="R145" i="6" s="1"/>
  <c r="R18" i="6" s="1"/>
  <c r="J75" i="6"/>
  <c r="AA40" i="6"/>
  <c r="S60" i="7"/>
  <c r="S61" i="7" s="1"/>
  <c r="S79" i="7" s="1"/>
  <c r="I60" i="7"/>
  <c r="I61" i="7" s="1"/>
  <c r="S76" i="7"/>
  <c r="R56" i="7"/>
  <c r="R57" i="7" s="1"/>
  <c r="S53" i="7"/>
  <c r="S54" i="7" s="1"/>
  <c r="I72" i="7"/>
  <c r="X124" i="5"/>
  <c r="R88" i="5"/>
  <c r="R89" i="5" s="1"/>
  <c r="S86" i="5"/>
  <c r="S87" i="5" s="1"/>
  <c r="R84" i="5"/>
  <c r="R85" i="5" s="1"/>
  <c r="J84" i="5"/>
  <c r="J85" i="5" s="1"/>
  <c r="I79" i="5"/>
  <c r="I80" i="5" s="1"/>
  <c r="I128" i="5"/>
  <c r="I122" i="5" s="1"/>
  <c r="K49" i="22"/>
  <c r="L48" i="22"/>
  <c r="K45" i="22"/>
  <c r="K41" i="22"/>
  <c r="K34" i="22"/>
  <c r="K27" i="22"/>
  <c r="M98" i="7"/>
  <c r="L90" i="18"/>
  <c r="K136" i="18"/>
  <c r="K134" i="18"/>
  <c r="K133" i="18"/>
  <c r="K132" i="18"/>
  <c r="K131" i="18"/>
  <c r="K123" i="18"/>
  <c r="K122" i="18"/>
  <c r="K121" i="18"/>
  <c r="K120" i="18"/>
  <c r="K118" i="18"/>
  <c r="K117" i="18"/>
  <c r="K116" i="18"/>
  <c r="K115" i="18"/>
  <c r="K109" i="18"/>
  <c r="K108" i="18"/>
  <c r="K107" i="18"/>
  <c r="K106" i="18"/>
  <c r="K105" i="18"/>
  <c r="K103" i="18"/>
  <c r="K102" i="18"/>
  <c r="K99" i="18"/>
  <c r="K98" i="18"/>
  <c r="K97" i="18"/>
  <c r="K95" i="18"/>
  <c r="K94" i="18"/>
  <c r="K93" i="18"/>
  <c r="K91" i="18"/>
  <c r="K90" i="18"/>
  <c r="K89" i="18"/>
  <c r="K87" i="18"/>
  <c r="K86" i="18"/>
  <c r="K85" i="18"/>
  <c r="K83" i="18"/>
  <c r="K82" i="18"/>
  <c r="K81" i="18"/>
  <c r="K80" i="18"/>
  <c r="K78" i="18"/>
  <c r="K77" i="18"/>
  <c r="K75" i="18"/>
  <c r="K74" i="18"/>
  <c r="K73" i="18"/>
  <c r="R116" i="6"/>
  <c r="U116" i="6"/>
  <c r="AH71" i="17"/>
  <c r="AW71" i="17"/>
  <c r="AZ72" i="17"/>
  <c r="AP72" i="17"/>
  <c r="BA72" i="17"/>
  <c r="AW72" i="17"/>
  <c r="AY72" i="17"/>
  <c r="AH72" i="17"/>
  <c r="V156" i="6"/>
  <c r="U155" i="6"/>
  <c r="U156" i="6"/>
  <c r="U157" i="6"/>
  <c r="W119" i="5"/>
  <c r="W120" i="5"/>
  <c r="W121" i="5"/>
  <c r="C120" i="5"/>
  <c r="W110" i="5"/>
  <c r="W111" i="5"/>
  <c r="W112" i="5"/>
  <c r="L45" i="3"/>
  <c r="L56" i="3" s="1"/>
  <c r="G45" i="3"/>
  <c r="G56" i="3" s="1"/>
  <c r="O43" i="3"/>
  <c r="O54" i="3" s="1"/>
  <c r="M43" i="3"/>
  <c r="M54" i="3" s="1"/>
  <c r="P45" i="3"/>
  <c r="P56" i="3" s="1"/>
  <c r="N41" i="3"/>
  <c r="N52" i="3" s="1"/>
  <c r="P41" i="3"/>
  <c r="P52" i="3" s="1"/>
  <c r="M41" i="3"/>
  <c r="M52" i="3" s="1"/>
  <c r="O41" i="3"/>
  <c r="O52" i="3" s="1"/>
  <c r="L41" i="3"/>
  <c r="L52" i="3" s="1"/>
  <c r="N44" i="3"/>
  <c r="N55" i="3" s="1"/>
  <c r="P44" i="3"/>
  <c r="P55" i="3" s="1"/>
  <c r="M44" i="3"/>
  <c r="M55" i="3" s="1"/>
  <c r="O44" i="3"/>
  <c r="O55" i="3" s="1"/>
  <c r="L44" i="3"/>
  <c r="L55" i="3" s="1"/>
  <c r="N42" i="3"/>
  <c r="N53" i="3" s="1"/>
  <c r="P42" i="3"/>
  <c r="P53" i="3" s="1"/>
  <c r="M42" i="3"/>
  <c r="M53" i="3" s="1"/>
  <c r="O42" i="3"/>
  <c r="O53" i="3" s="1"/>
  <c r="L42" i="3"/>
  <c r="L53" i="3" s="1"/>
  <c r="AJ39" i="18"/>
  <c r="AG41" i="18" s="1"/>
  <c r="J46" i="18" s="1"/>
  <c r="AG72" i="17"/>
  <c r="BA71" i="17"/>
  <c r="AN71" i="17"/>
  <c r="F61" i="15"/>
  <c r="T10" i="12"/>
  <c r="V10" i="12" s="1"/>
  <c r="T7" i="12"/>
  <c r="V7" i="12" s="1"/>
  <c r="R115" i="6"/>
  <c r="O115" i="6"/>
  <c r="W113" i="5"/>
  <c r="W114" i="5"/>
  <c r="S114" i="5" s="1"/>
  <c r="W115" i="5"/>
  <c r="W116" i="5"/>
  <c r="W117" i="5"/>
  <c r="W118" i="5"/>
  <c r="V59" i="3"/>
  <c r="S59" i="3"/>
  <c r="Y59" i="3"/>
  <c r="AZ71" i="17"/>
  <c r="U115" i="6"/>
  <c r="T11" i="12"/>
  <c r="V11" i="12" s="1"/>
  <c r="T8" i="12"/>
  <c r="V8" i="12" s="1"/>
  <c r="T6" i="12"/>
  <c r="O116" i="6"/>
  <c r="K56" i="3"/>
  <c r="K54" i="3"/>
  <c r="K52" i="3"/>
  <c r="AF69" i="7"/>
  <c r="AF70" i="7"/>
  <c r="K55" i="3"/>
  <c r="K53" i="3"/>
  <c r="N56" i="3"/>
  <c r="N54" i="3"/>
  <c r="F53" i="3"/>
  <c r="N11" i="12"/>
  <c r="P11" i="12" s="1"/>
  <c r="N8" i="12"/>
  <c r="P8" i="12" s="1"/>
  <c r="N6" i="12"/>
  <c r="Q11" i="12"/>
  <c r="S11" i="12" s="1"/>
  <c r="Q8" i="12"/>
  <c r="S8" i="12" s="1"/>
  <c r="Q6" i="12"/>
  <c r="Q62" i="11"/>
  <c r="Q6" i="20"/>
  <c r="R113" i="6"/>
  <c r="S91" i="6"/>
  <c r="AB90" i="6"/>
  <c r="AB88" i="6"/>
  <c r="F54" i="3"/>
  <c r="F52" i="3"/>
  <c r="N62" i="11"/>
  <c r="N6" i="20"/>
  <c r="Q10" i="12"/>
  <c r="S10" i="12" s="1"/>
  <c r="Q7" i="12"/>
  <c r="S7" i="12" s="1"/>
  <c r="R112" i="6"/>
  <c r="AB87" i="6"/>
  <c r="AB89" i="6"/>
  <c r="AB91" i="6"/>
  <c r="S87" i="6"/>
  <c r="S89" i="6"/>
  <c r="S90" i="6"/>
  <c r="AF104" i="6"/>
  <c r="S73" i="6"/>
  <c r="AB71" i="6"/>
  <c r="AB74" i="7"/>
  <c r="AB76" i="7"/>
  <c r="S74" i="7"/>
  <c r="J76" i="7"/>
  <c r="J74" i="7"/>
  <c r="W123" i="5"/>
  <c r="AB68" i="6"/>
  <c r="AB70" i="6"/>
  <c r="AB72" i="6"/>
  <c r="AB74" i="6"/>
  <c r="S68" i="6"/>
  <c r="S70" i="6"/>
  <c r="S72" i="6"/>
  <c r="S75" i="6"/>
  <c r="L100" i="22"/>
  <c r="H100" i="22"/>
  <c r="K100" i="22"/>
  <c r="J100" i="22"/>
  <c r="L101" i="22"/>
  <c r="K101" i="22"/>
  <c r="J101" i="22"/>
  <c r="H101" i="22"/>
  <c r="L40" i="22"/>
  <c r="L38" i="22"/>
  <c r="I24" i="17"/>
  <c r="AN51" i="22" l="1"/>
  <c r="H62" i="22"/>
  <c r="C176" i="24" s="1"/>
  <c r="AG115" i="21"/>
  <c r="F68" i="6"/>
  <c r="H84" i="22"/>
  <c r="K83" i="22"/>
  <c r="L86" i="22"/>
  <c r="J84" i="22"/>
  <c r="J83" i="22"/>
  <c r="H83" i="22"/>
  <c r="AH84" i="22"/>
  <c r="L83" i="22"/>
  <c r="AE84" i="22"/>
  <c r="K85" i="22"/>
  <c r="J85" i="22"/>
  <c r="AG86" i="22"/>
  <c r="K86" i="22"/>
  <c r="AH86" i="22"/>
  <c r="AF86" i="22"/>
  <c r="J86" i="22"/>
  <c r="AE86" i="22"/>
  <c r="H86" i="22"/>
  <c r="AC86" i="22"/>
  <c r="AD86" i="22"/>
  <c r="G176" i="24" s="1"/>
  <c r="K9" i="28"/>
  <c r="C13" i="30"/>
  <c r="L52" i="22"/>
  <c r="E140" i="24" s="1"/>
  <c r="J33" i="18"/>
  <c r="AV78" i="17"/>
  <c r="AU74" i="17"/>
  <c r="AU85" i="17"/>
  <c r="AV71" i="17"/>
  <c r="AT86" i="17"/>
  <c r="AT82" i="17"/>
  <c r="AT78" i="17"/>
  <c r="AT74" i="17"/>
  <c r="AT72" i="17" s="1"/>
  <c r="AT81" i="17"/>
  <c r="AT84" i="17"/>
  <c r="AT80" i="17"/>
  <c r="AT76" i="17"/>
  <c r="AT77" i="17"/>
  <c r="AT85" i="17"/>
  <c r="AT79" i="17"/>
  <c r="AT83" i="17"/>
  <c r="AT75" i="17"/>
  <c r="AT87" i="17"/>
  <c r="AS83" i="17"/>
  <c r="AS79" i="17"/>
  <c r="AS75" i="17"/>
  <c r="AS80" i="17"/>
  <c r="AS78" i="17"/>
  <c r="AS82" i="17"/>
  <c r="AS85" i="17"/>
  <c r="AS81" i="17"/>
  <c r="AS77" i="17"/>
  <c r="AS76" i="17"/>
  <c r="AS74" i="17"/>
  <c r="AS84" i="17"/>
  <c r="AS86" i="17"/>
  <c r="AR86" i="17"/>
  <c r="AR82" i="17"/>
  <c r="AK72" i="17"/>
  <c r="AR75" i="17"/>
  <c r="AR83" i="17"/>
  <c r="AR85" i="17"/>
  <c r="AR84" i="17"/>
  <c r="AR80" i="17"/>
  <c r="AR76" i="17"/>
  <c r="AR79" i="17"/>
  <c r="AR87" i="17"/>
  <c r="AR77" i="17"/>
  <c r="AR81" i="17"/>
  <c r="AR74" i="17"/>
  <c r="G78" i="15"/>
  <c r="I55" i="15"/>
  <c r="I44" i="15"/>
  <c r="I28" i="15"/>
  <c r="K28" i="15" s="1"/>
  <c r="D10" i="15"/>
  <c r="I29" i="15"/>
  <c r="K29" i="15" s="1"/>
  <c r="I30" i="15"/>
  <c r="K30" i="15" s="1"/>
  <c r="C58" i="24"/>
  <c r="AH108" i="21"/>
  <c r="J12" i="30"/>
  <c r="C29" i="30"/>
  <c r="I12" i="30"/>
  <c r="C29" i="28"/>
  <c r="C39" i="28" s="1"/>
  <c r="F149" i="1"/>
  <c r="F156" i="1"/>
  <c r="N118" i="1"/>
  <c r="M109" i="1"/>
  <c r="G74" i="15" s="1"/>
  <c r="I74" i="15" s="1"/>
  <c r="M103" i="1"/>
  <c r="G71" i="15" s="1"/>
  <c r="I71" i="15" s="1"/>
  <c r="M107" i="1"/>
  <c r="G72" i="15" s="1"/>
  <c r="I72" i="15" s="1"/>
  <c r="M108" i="1"/>
  <c r="G73" i="15" s="1"/>
  <c r="I73" i="15" s="1"/>
  <c r="M96" i="1"/>
  <c r="M74" i="1"/>
  <c r="M79" i="1"/>
  <c r="N79" i="1" s="1"/>
  <c r="M87" i="1"/>
  <c r="N87" i="1" s="1"/>
  <c r="M86" i="1"/>
  <c r="N86" i="1" s="1"/>
  <c r="M85" i="1"/>
  <c r="N85" i="1" s="1"/>
  <c r="AL62" i="1"/>
  <c r="M60" i="1"/>
  <c r="G50" i="15" s="1"/>
  <c r="M55" i="1"/>
  <c r="C51" i="24" s="1"/>
  <c r="L48" i="1"/>
  <c r="G45" i="15" s="1"/>
  <c r="F32" i="21"/>
  <c r="F8" i="24"/>
  <c r="T62" i="17"/>
  <c r="E10" i="15"/>
  <c r="P9" i="8"/>
  <c r="AJ247" i="1"/>
  <c r="P8" i="8"/>
  <c r="L53" i="22"/>
  <c r="L54" i="22"/>
  <c r="M75" i="1"/>
  <c r="K62" i="22"/>
  <c r="I18" i="1"/>
  <c r="AB34" i="21"/>
  <c r="AB28" i="21"/>
  <c r="AH106" i="21"/>
  <c r="AH59" i="21"/>
  <c r="AH62" i="21" s="1"/>
  <c r="H55" i="22"/>
  <c r="Y73" i="6"/>
  <c r="L121" i="1"/>
  <c r="X76" i="7"/>
  <c r="W76" i="7" s="1"/>
  <c r="X75" i="7"/>
  <c r="V87" i="6"/>
  <c r="M88" i="6"/>
  <c r="K88" i="6" s="1"/>
  <c r="J54" i="22"/>
  <c r="V88" i="7"/>
  <c r="V89" i="7" s="1"/>
  <c r="F91" i="6"/>
  <c r="E91" i="6" s="1"/>
  <c r="M89" i="6"/>
  <c r="V90" i="6"/>
  <c r="V137" i="6" s="1"/>
  <c r="AO14" i="6" s="1"/>
  <c r="V88" i="6"/>
  <c r="V89" i="6"/>
  <c r="I89" i="6"/>
  <c r="H89" i="6" s="1"/>
  <c r="M87" i="6"/>
  <c r="X90" i="6"/>
  <c r="M91" i="6"/>
  <c r="X73" i="6"/>
  <c r="AA74" i="7"/>
  <c r="Z74" i="7" s="1"/>
  <c r="U69" i="6"/>
  <c r="F87" i="6"/>
  <c r="F90" i="6"/>
  <c r="R89" i="6"/>
  <c r="Q89" i="6" s="1"/>
  <c r="R90" i="6"/>
  <c r="Q90" i="6" s="1"/>
  <c r="R91" i="6"/>
  <c r="Q91" i="6" s="1"/>
  <c r="Y72" i="6"/>
  <c r="W72" i="6" s="1"/>
  <c r="F89" i="6"/>
  <c r="Y71" i="6"/>
  <c r="H129" i="22"/>
  <c r="V93" i="7"/>
  <c r="V94" i="7" s="1"/>
  <c r="S98" i="7"/>
  <c r="S99" i="7" s="1"/>
  <c r="S88" i="7"/>
  <c r="S89" i="7" s="1"/>
  <c r="AB87" i="21"/>
  <c r="U75" i="7"/>
  <c r="O74" i="7"/>
  <c r="R87" i="6"/>
  <c r="Q87" i="6" s="1"/>
  <c r="O75" i="7"/>
  <c r="X74" i="6"/>
  <c r="Y74" i="6"/>
  <c r="U90" i="6"/>
  <c r="F111" i="5"/>
  <c r="X68" i="6"/>
  <c r="Y68" i="6"/>
  <c r="V68" i="6"/>
  <c r="X71" i="6"/>
  <c r="V152" i="6"/>
  <c r="V25" i="6" s="1"/>
  <c r="AL25" i="6" s="1"/>
  <c r="I90" i="6"/>
  <c r="H90" i="6" s="1"/>
  <c r="AD88" i="6"/>
  <c r="I87" i="6"/>
  <c r="H87" i="6" s="1"/>
  <c r="X88" i="6"/>
  <c r="O91" i="6"/>
  <c r="I91" i="6"/>
  <c r="H91" i="6" s="1"/>
  <c r="X91" i="6"/>
  <c r="V111" i="5"/>
  <c r="I71" i="6"/>
  <c r="H71" i="6" s="1"/>
  <c r="Y88" i="6"/>
  <c r="AA91" i="6"/>
  <c r="Z91" i="6" s="1"/>
  <c r="I68" i="6"/>
  <c r="H68" i="6" s="1"/>
  <c r="I72" i="6"/>
  <c r="H72" i="6" s="1"/>
  <c r="U87" i="6"/>
  <c r="S77" i="7"/>
  <c r="S78" i="7" s="1"/>
  <c r="Y87" i="6"/>
  <c r="W87" i="6" s="1"/>
  <c r="Y79" i="7"/>
  <c r="L75" i="22"/>
  <c r="AD68" i="6"/>
  <c r="Y90" i="6"/>
  <c r="U88" i="6"/>
  <c r="F75" i="7"/>
  <c r="P74" i="7"/>
  <c r="L87" i="6"/>
  <c r="AA88" i="6"/>
  <c r="Z88" i="6" s="1"/>
  <c r="G90" i="6"/>
  <c r="G87" i="6"/>
  <c r="L91" i="6"/>
  <c r="AE91" i="6"/>
  <c r="V138" i="6" s="1"/>
  <c r="AO15" i="6" s="1"/>
  <c r="U111" i="5"/>
  <c r="Y75" i="6"/>
  <c r="U68" i="6"/>
  <c r="L90" i="6"/>
  <c r="K90" i="6" s="1"/>
  <c r="P87" i="6"/>
  <c r="AA87" i="6"/>
  <c r="Z87" i="6" s="1"/>
  <c r="V75" i="7"/>
  <c r="T75" i="7" s="1"/>
  <c r="AA89" i="6"/>
  <c r="Z89" i="6" s="1"/>
  <c r="P88" i="6"/>
  <c r="L74" i="6"/>
  <c r="AE88" i="6"/>
  <c r="U71" i="6"/>
  <c r="AE79" i="7"/>
  <c r="AE87" i="6"/>
  <c r="V113" i="5"/>
  <c r="O117" i="6"/>
  <c r="O152" i="6" s="1"/>
  <c r="O25" i="6" s="1"/>
  <c r="Y69" i="6"/>
  <c r="V74" i="7"/>
  <c r="F74" i="7"/>
  <c r="L75" i="6"/>
  <c r="K75" i="6" s="1"/>
  <c r="L68" i="6"/>
  <c r="P91" i="6"/>
  <c r="AE89" i="6"/>
  <c r="P90" i="6"/>
  <c r="N90" i="6" s="1"/>
  <c r="L123" i="5"/>
  <c r="F69" i="6"/>
  <c r="K75" i="22"/>
  <c r="S111" i="5"/>
  <c r="X69" i="6"/>
  <c r="U117" i="6"/>
  <c r="U152" i="6" s="1"/>
  <c r="U25" i="6" s="1"/>
  <c r="S152" i="6"/>
  <c r="S25" i="6" s="1"/>
  <c r="AK25" i="6" s="1"/>
  <c r="R68" i="6"/>
  <c r="Q68" i="6" s="1"/>
  <c r="O88" i="6"/>
  <c r="M74" i="7"/>
  <c r="K74" i="7" s="1"/>
  <c r="AD90" i="6"/>
  <c r="AC90" i="6" s="1"/>
  <c r="O87" i="6"/>
  <c r="L70" i="6"/>
  <c r="U72" i="6"/>
  <c r="U75" i="6"/>
  <c r="G89" i="6"/>
  <c r="P111" i="5"/>
  <c r="AD91" i="6"/>
  <c r="O89" i="6"/>
  <c r="N89" i="6" s="1"/>
  <c r="O70" i="6"/>
  <c r="V71" i="6"/>
  <c r="O68" i="6"/>
  <c r="N68" i="6" s="1"/>
  <c r="AD76" i="7"/>
  <c r="AC76" i="7" s="1"/>
  <c r="R114" i="6"/>
  <c r="R151" i="6" s="1"/>
  <c r="R24" i="6" s="1"/>
  <c r="F75" i="6"/>
  <c r="V110" i="5"/>
  <c r="R117" i="6"/>
  <c r="R152" i="6" s="1"/>
  <c r="R25" i="6" s="1"/>
  <c r="Q114" i="6"/>
  <c r="AE69" i="7"/>
  <c r="X70" i="6"/>
  <c r="W70" i="6" s="1"/>
  <c r="X75" i="6"/>
  <c r="U115" i="5"/>
  <c r="R74" i="6"/>
  <c r="Q74" i="6" s="1"/>
  <c r="Y74" i="7"/>
  <c r="W74" i="7" s="1"/>
  <c r="R75" i="6"/>
  <c r="Q75" i="6" s="1"/>
  <c r="U74" i="6"/>
  <c r="T74" i="6" s="1"/>
  <c r="G88" i="6"/>
  <c r="E88" i="6" s="1"/>
  <c r="R72" i="6"/>
  <c r="Q72" i="6" s="1"/>
  <c r="Q78" i="6"/>
  <c r="Q129" i="6" s="1"/>
  <c r="G118" i="5"/>
  <c r="J117" i="5"/>
  <c r="R114" i="5"/>
  <c r="Q114" i="5" s="1"/>
  <c r="L110" i="5"/>
  <c r="P110" i="5"/>
  <c r="S110" i="5"/>
  <c r="S119" i="5"/>
  <c r="V140" i="6"/>
  <c r="AL13" i="6" s="1"/>
  <c r="J75" i="22"/>
  <c r="U77" i="7"/>
  <c r="AD75" i="7"/>
  <c r="G75" i="7"/>
  <c r="V79" i="7"/>
  <c r="AE77" i="7"/>
  <c r="AE78" i="7" s="1"/>
  <c r="Y75" i="7"/>
  <c r="U79" i="7"/>
  <c r="U76" i="7"/>
  <c r="T76" i="7" s="1"/>
  <c r="F79" i="7"/>
  <c r="AA75" i="7"/>
  <c r="P79" i="7"/>
  <c r="P75" i="7"/>
  <c r="I74" i="7"/>
  <c r="AD79" i="7"/>
  <c r="G74" i="7"/>
  <c r="G79" i="7"/>
  <c r="L75" i="7"/>
  <c r="O114" i="5"/>
  <c r="I113" i="5"/>
  <c r="G111" i="5"/>
  <c r="I112" i="5"/>
  <c r="R118" i="5"/>
  <c r="F125" i="5"/>
  <c r="P121" i="5"/>
  <c r="R112" i="5"/>
  <c r="AA79" i="7"/>
  <c r="R73" i="6"/>
  <c r="Q73" i="6" s="1"/>
  <c r="AM71" i="17"/>
  <c r="P98" i="7"/>
  <c r="P99" i="7" s="1"/>
  <c r="AV72" i="17"/>
  <c r="N76" i="7"/>
  <c r="S93" i="7"/>
  <c r="S94" i="7" s="1"/>
  <c r="X79" i="7"/>
  <c r="V98" i="7"/>
  <c r="V99" i="7" s="1"/>
  <c r="K103" i="6"/>
  <c r="T145" i="6" s="1"/>
  <c r="T18" i="6" s="1"/>
  <c r="Q40" i="6"/>
  <c r="O96" i="6"/>
  <c r="N96" i="6" s="1"/>
  <c r="N140" i="6" s="1"/>
  <c r="S141" i="6"/>
  <c r="AK14" i="6" s="1"/>
  <c r="Q98" i="6"/>
  <c r="Q142" i="6" s="1"/>
  <c r="N113" i="6"/>
  <c r="F73" i="6"/>
  <c r="AB79" i="7"/>
  <c r="T112" i="6"/>
  <c r="AB75" i="7"/>
  <c r="R79" i="7"/>
  <c r="Q79" i="7" s="1"/>
  <c r="E106" i="6"/>
  <c r="AO71" i="17"/>
  <c r="O79" i="7"/>
  <c r="G117" i="5"/>
  <c r="AO72" i="17"/>
  <c r="AL71" i="17"/>
  <c r="P93" i="7"/>
  <c r="P94" i="7" s="1"/>
  <c r="P70" i="7"/>
  <c r="S121" i="5"/>
  <c r="J75" i="7"/>
  <c r="G57" i="3"/>
  <c r="E103" i="6"/>
  <c r="N145" i="6" s="1"/>
  <c r="N18" i="6" s="1"/>
  <c r="N106" i="6"/>
  <c r="AC74" i="7"/>
  <c r="S75" i="7"/>
  <c r="S112" i="5"/>
  <c r="O121" i="5"/>
  <c r="L76" i="7"/>
  <c r="K76" i="7" s="1"/>
  <c r="AE75" i="7"/>
  <c r="M79" i="7"/>
  <c r="R76" i="7"/>
  <c r="Q76" i="7" s="1"/>
  <c r="L79" i="7"/>
  <c r="I79" i="7"/>
  <c r="R75" i="7"/>
  <c r="I75" i="7"/>
  <c r="M75" i="7"/>
  <c r="G77" i="7"/>
  <c r="G78" i="7" s="1"/>
  <c r="J77" i="7"/>
  <c r="J78" i="7" s="1"/>
  <c r="AD77" i="7"/>
  <c r="Y77" i="7"/>
  <c r="Y78" i="7" s="1"/>
  <c r="L77" i="7"/>
  <c r="P77" i="7"/>
  <c r="P78" i="7" s="1"/>
  <c r="O77" i="7"/>
  <c r="O78" i="7" s="1"/>
  <c r="AA75" i="6"/>
  <c r="Z75" i="6" s="1"/>
  <c r="AA68" i="6"/>
  <c r="AA69" i="6"/>
  <c r="Z69" i="6" s="1"/>
  <c r="L69" i="6"/>
  <c r="M73" i="6"/>
  <c r="AA70" i="6"/>
  <c r="Z70" i="6" s="1"/>
  <c r="AE68" i="6"/>
  <c r="AA71" i="6"/>
  <c r="Z71" i="6" s="1"/>
  <c r="F72" i="6"/>
  <c r="E72" i="6" s="1"/>
  <c r="F70" i="6"/>
  <c r="M71" i="6"/>
  <c r="AA72" i="6"/>
  <c r="Z72" i="6" s="1"/>
  <c r="M72" i="6"/>
  <c r="K72" i="6" s="1"/>
  <c r="AD74" i="6"/>
  <c r="AD69" i="6"/>
  <c r="AD70" i="6"/>
  <c r="AE73" i="6"/>
  <c r="M68" i="6"/>
  <c r="R69" i="6"/>
  <c r="Q69" i="6" s="1"/>
  <c r="AD75" i="6"/>
  <c r="M69" i="6"/>
  <c r="Q88" i="6"/>
  <c r="Z90" i="6"/>
  <c r="R147" i="6"/>
  <c r="R20" i="6" s="1"/>
  <c r="W106" i="6"/>
  <c r="G70" i="7"/>
  <c r="AA69" i="7"/>
  <c r="F69" i="7"/>
  <c r="S70" i="7"/>
  <c r="O70" i="7"/>
  <c r="Q131" i="6"/>
  <c r="R131" i="6"/>
  <c r="Q84" i="6"/>
  <c r="Q133" i="6" s="1"/>
  <c r="S133" i="6"/>
  <c r="AK10" i="6" s="1"/>
  <c r="N132" i="6"/>
  <c r="T132" i="6"/>
  <c r="O131" i="6"/>
  <c r="H105" i="22"/>
  <c r="M84" i="1"/>
  <c r="T97" i="6"/>
  <c r="T141" i="6" s="1"/>
  <c r="V141" i="6"/>
  <c r="AL14" i="6" s="1"/>
  <c r="T98" i="6"/>
  <c r="T142" i="6" s="1"/>
  <c r="V142" i="6"/>
  <c r="AL15" i="6" s="1"/>
  <c r="N131" i="6"/>
  <c r="U132" i="6"/>
  <c r="O132" i="6"/>
  <c r="G69" i="6"/>
  <c r="Q83" i="6"/>
  <c r="Q132" i="6" s="1"/>
  <c r="G70" i="6"/>
  <c r="M74" i="6"/>
  <c r="G73" i="6"/>
  <c r="G68" i="6"/>
  <c r="U81" i="6"/>
  <c r="T38" i="6"/>
  <c r="T96" i="6"/>
  <c r="T140" i="6" s="1"/>
  <c r="R96" i="6"/>
  <c r="Q45" i="6"/>
  <c r="G74" i="6"/>
  <c r="E74" i="6" s="1"/>
  <c r="M70" i="6"/>
  <c r="G71" i="6"/>
  <c r="G75" i="6"/>
  <c r="Y91" i="6"/>
  <c r="N109" i="1"/>
  <c r="J118" i="5"/>
  <c r="P114" i="5"/>
  <c r="F112" i="5"/>
  <c r="T113" i="6"/>
  <c r="O69" i="6"/>
  <c r="V70" i="6"/>
  <c r="T70" i="6" s="1"/>
  <c r="AE72" i="6"/>
  <c r="AC72" i="6" s="1"/>
  <c r="AR78" i="17"/>
  <c r="AK71" i="17"/>
  <c r="R119" i="5"/>
  <c r="P119" i="5"/>
  <c r="AC106" i="6"/>
  <c r="U119" i="5"/>
  <c r="R116" i="5"/>
  <c r="L112" i="5"/>
  <c r="U70" i="7"/>
  <c r="O116" i="5"/>
  <c r="AM72" i="17"/>
  <c r="J52" i="22"/>
  <c r="O119" i="5"/>
  <c r="V6" i="20"/>
  <c r="N15" i="2" s="1"/>
  <c r="H88" i="6"/>
  <c r="E51" i="24"/>
  <c r="AB44" i="21"/>
  <c r="R77" i="7"/>
  <c r="F77" i="7"/>
  <c r="V77" i="7"/>
  <c r="J153" i="18"/>
  <c r="K153" i="18"/>
  <c r="L129" i="22"/>
  <c r="K129" i="22"/>
  <c r="J129" i="22"/>
  <c r="K54" i="22"/>
  <c r="K53" i="22"/>
  <c r="X77" i="7"/>
  <c r="I77" i="7"/>
  <c r="I78" i="7" s="1"/>
  <c r="AA77" i="7"/>
  <c r="Z77" i="7" s="1"/>
  <c r="M77" i="7"/>
  <c r="L153" i="18"/>
  <c r="O72" i="6"/>
  <c r="G116" i="5"/>
  <c r="F116" i="5"/>
  <c r="F118" i="5"/>
  <c r="J69" i="7"/>
  <c r="I123" i="5"/>
  <c r="R69" i="7"/>
  <c r="J53" i="22"/>
  <c r="O75" i="6"/>
  <c r="V147" i="6"/>
  <c r="V20" i="6" s="1"/>
  <c r="AO20" i="6" s="1"/>
  <c r="K106" i="6"/>
  <c r="I110" i="5"/>
  <c r="P20" i="4"/>
  <c r="Y69" i="7"/>
  <c r="P69" i="6"/>
  <c r="P70" i="6"/>
  <c r="AB70" i="7"/>
  <c r="H65" i="2"/>
  <c r="P72" i="6"/>
  <c r="P75" i="6"/>
  <c r="AE69" i="6"/>
  <c r="AE71" i="6"/>
  <c r="V73" i="6"/>
  <c r="AE74" i="6"/>
  <c r="V75" i="6"/>
  <c r="P73" i="6"/>
  <c r="V69" i="6"/>
  <c r="AE70" i="6"/>
  <c r="V72" i="6"/>
  <c r="P71" i="6"/>
  <c r="P74" i="6"/>
  <c r="U116" i="5"/>
  <c r="S117" i="5"/>
  <c r="P113" i="5"/>
  <c r="F113" i="5"/>
  <c r="N65" i="2"/>
  <c r="N10" i="8"/>
  <c r="F16" i="2" s="1"/>
  <c r="K52" i="22"/>
  <c r="N116" i="6"/>
  <c r="P88" i="7"/>
  <c r="P89" i="7" s="1"/>
  <c r="P6" i="8"/>
  <c r="E76" i="7"/>
  <c r="L113" i="5"/>
  <c r="V115" i="5"/>
  <c r="U121" i="5"/>
  <c r="V119" i="5"/>
  <c r="O147" i="6"/>
  <c r="O20" i="6" s="1"/>
  <c r="I70" i="6"/>
  <c r="H70" i="6" s="1"/>
  <c r="P147" i="6"/>
  <c r="P20" i="6" s="1"/>
  <c r="AM20" i="6" s="1"/>
  <c r="I73" i="6"/>
  <c r="H73" i="6" s="1"/>
  <c r="I111" i="5"/>
  <c r="R110" i="5"/>
  <c r="I114" i="5"/>
  <c r="I115" i="5"/>
  <c r="S69" i="7"/>
  <c r="I116" i="5"/>
  <c r="I117" i="5"/>
  <c r="I118" i="5"/>
  <c r="I125" i="5"/>
  <c r="H125" i="5" s="1"/>
  <c r="S120" i="5"/>
  <c r="G110" i="5"/>
  <c r="P117" i="5"/>
  <c r="N114" i="6"/>
  <c r="O110" i="5"/>
  <c r="P115" i="5"/>
  <c r="F115" i="5"/>
  <c r="H103" i="6"/>
  <c r="Q145" i="6" s="1"/>
  <c r="Q18" i="6" s="1"/>
  <c r="T106" i="6"/>
  <c r="F117" i="5"/>
  <c r="S124" i="6"/>
  <c r="I69" i="6"/>
  <c r="I75" i="6"/>
  <c r="H74" i="6"/>
  <c r="V120" i="5"/>
  <c r="L115" i="5"/>
  <c r="L117" i="5"/>
  <c r="V112" i="5"/>
  <c r="M112" i="5"/>
  <c r="V20" i="4"/>
  <c r="S20" i="4"/>
  <c r="R71" i="6"/>
  <c r="Q71" i="6" s="1"/>
  <c r="Q38" i="6"/>
  <c r="O71" i="6"/>
  <c r="N38" i="6"/>
  <c r="O73" i="6"/>
  <c r="N40" i="6"/>
  <c r="AB69" i="7"/>
  <c r="V118" i="5"/>
  <c r="V116" i="5"/>
  <c r="F71" i="6"/>
  <c r="E38" i="6"/>
  <c r="K65" i="2"/>
  <c r="O57" i="3"/>
  <c r="T116" i="6"/>
  <c r="Q116" i="6"/>
  <c r="AD71" i="6"/>
  <c r="AC38" i="6"/>
  <c r="U73" i="6"/>
  <c r="T40" i="6"/>
  <c r="AS87" i="17"/>
  <c r="AL72" i="17"/>
  <c r="L73" i="6"/>
  <c r="K40" i="6"/>
  <c r="AD73" i="6"/>
  <c r="AC40" i="6"/>
  <c r="W126" i="5"/>
  <c r="J126" i="5" s="1"/>
  <c r="M125" i="5"/>
  <c r="L125" i="5"/>
  <c r="G125" i="5"/>
  <c r="L89" i="6"/>
  <c r="K45" i="6"/>
  <c r="AD89" i="6"/>
  <c r="AC45" i="6"/>
  <c r="U89" i="6"/>
  <c r="T45" i="6"/>
  <c r="L71" i="6"/>
  <c r="K38" i="6"/>
  <c r="U147" i="6"/>
  <c r="U20" i="6" s="1"/>
  <c r="Q74" i="7"/>
  <c r="Q113" i="6"/>
  <c r="F70" i="7"/>
  <c r="O151" i="6"/>
  <c r="O24" i="6" s="1"/>
  <c r="R70" i="7"/>
  <c r="M116" i="5"/>
  <c r="M118" i="5"/>
  <c r="L116" i="5"/>
  <c r="P116" i="5"/>
  <c r="P112" i="5"/>
  <c r="Q106" i="6"/>
  <c r="Z106" i="6"/>
  <c r="X89" i="6"/>
  <c r="W89" i="6" s="1"/>
  <c r="W45" i="6"/>
  <c r="S147" i="6"/>
  <c r="S20" i="6" s="1"/>
  <c r="AN20" i="6" s="1"/>
  <c r="T91" i="6"/>
  <c r="L70" i="7"/>
  <c r="AD70" i="7"/>
  <c r="AA73" i="6"/>
  <c r="Z73" i="6" s="1"/>
  <c r="Z40" i="6"/>
  <c r="U114" i="6"/>
  <c r="U151" i="6" s="1"/>
  <c r="U24" i="6" s="1"/>
  <c r="U108" i="7"/>
  <c r="U15" i="7" s="1"/>
  <c r="H106" i="6"/>
  <c r="L104" i="22"/>
  <c r="L57" i="3"/>
  <c r="U57" i="3" s="1"/>
  <c r="S126" i="6"/>
  <c r="S123" i="6"/>
  <c r="J124" i="5"/>
  <c r="I124" i="5"/>
  <c r="G124" i="5"/>
  <c r="F124" i="5"/>
  <c r="M124" i="5"/>
  <c r="L124" i="5"/>
  <c r="Z76" i="7"/>
  <c r="AB78" i="7"/>
  <c r="J104" i="6"/>
  <c r="I104" i="6"/>
  <c r="R146" i="6" s="1"/>
  <c r="R19" i="6" s="1"/>
  <c r="G104" i="6"/>
  <c r="F104" i="6"/>
  <c r="O146" i="6" s="1"/>
  <c r="O19" i="6" s="1"/>
  <c r="M104" i="6"/>
  <c r="L104" i="6"/>
  <c r="U146" i="6" s="1"/>
  <c r="U19" i="6" s="1"/>
  <c r="S136" i="6"/>
  <c r="P62" i="11"/>
  <c r="H17" i="2" s="1"/>
  <c r="F17" i="2"/>
  <c r="I15" i="2"/>
  <c r="S6" i="20"/>
  <c r="K15" i="2" s="1"/>
  <c r="Q12" i="12"/>
  <c r="I18" i="2" s="1"/>
  <c r="S6" i="12"/>
  <c r="S12" i="12" s="1"/>
  <c r="K18" i="2" s="1"/>
  <c r="F123" i="5"/>
  <c r="J70" i="7"/>
  <c r="K57" i="3"/>
  <c r="R57" i="3" s="1"/>
  <c r="G69" i="7"/>
  <c r="P152" i="6"/>
  <c r="P25" i="6" s="1"/>
  <c r="AJ25" i="6" s="1"/>
  <c r="N115" i="6"/>
  <c r="X70" i="7"/>
  <c r="T62" i="11"/>
  <c r="L17" i="2" s="1"/>
  <c r="U69" i="7"/>
  <c r="J116" i="5"/>
  <c r="J114" i="5"/>
  <c r="G114" i="5"/>
  <c r="F114" i="5"/>
  <c r="M114" i="5"/>
  <c r="L114" i="5"/>
  <c r="V114" i="5"/>
  <c r="U114" i="5"/>
  <c r="U118" i="5"/>
  <c r="O118" i="5"/>
  <c r="S118" i="5"/>
  <c r="T10" i="8"/>
  <c r="L16" i="2" s="1"/>
  <c r="V10" i="8"/>
  <c r="N16" i="2" s="1"/>
  <c r="Q10" i="8"/>
  <c r="I16" i="2" s="1"/>
  <c r="S10" i="8"/>
  <c r="K16" i="2" s="1"/>
  <c r="H57" i="3"/>
  <c r="M115" i="5"/>
  <c r="M69" i="7"/>
  <c r="T115" i="6"/>
  <c r="M57" i="3"/>
  <c r="X57" i="3" s="1"/>
  <c r="U112" i="5"/>
  <c r="O112" i="5"/>
  <c r="G112" i="5"/>
  <c r="J111" i="5"/>
  <c r="R111" i="5"/>
  <c r="O111" i="5"/>
  <c r="M111" i="5"/>
  <c r="L111" i="5"/>
  <c r="J112" i="5"/>
  <c r="V117" i="5"/>
  <c r="O117" i="5"/>
  <c r="R117" i="5"/>
  <c r="V62" i="17"/>
  <c r="V121" i="5"/>
  <c r="R121" i="5"/>
  <c r="S128" i="6"/>
  <c r="Q70" i="6"/>
  <c r="S125" i="6"/>
  <c r="Z74" i="6"/>
  <c r="S127" i="6"/>
  <c r="AN10" i="6" s="1"/>
  <c r="J123" i="5"/>
  <c r="G123" i="5"/>
  <c r="S108" i="7"/>
  <c r="S15" i="7" s="1"/>
  <c r="H76" i="7"/>
  <c r="S137" i="6"/>
  <c r="AN14" i="6" s="1"/>
  <c r="S135" i="6"/>
  <c r="P6" i="20"/>
  <c r="H15" i="2" s="1"/>
  <c r="F15" i="2"/>
  <c r="F57" i="3"/>
  <c r="S138" i="6"/>
  <c r="Q112" i="6"/>
  <c r="I17" i="2"/>
  <c r="S62" i="11"/>
  <c r="K17" i="2" s="1"/>
  <c r="P6" i="12"/>
  <c r="P12" i="12" s="1"/>
  <c r="H18" i="2" s="1"/>
  <c r="N12" i="12"/>
  <c r="F18" i="2" s="1"/>
  <c r="N57" i="3"/>
  <c r="N112" i="6"/>
  <c r="Y70" i="7"/>
  <c r="AA70" i="7"/>
  <c r="I70" i="7"/>
  <c r="I69" i="7"/>
  <c r="P69" i="7"/>
  <c r="O69" i="7"/>
  <c r="L69" i="7"/>
  <c r="V69" i="7"/>
  <c r="AD69" i="7"/>
  <c r="X69" i="7"/>
  <c r="T12" i="12"/>
  <c r="L18" i="2" s="1"/>
  <c r="V6" i="12"/>
  <c r="V12" i="12" s="1"/>
  <c r="N18" i="2" s="1"/>
  <c r="M70" i="7"/>
  <c r="V70" i="7"/>
  <c r="AE70" i="7"/>
  <c r="S116" i="5"/>
  <c r="J115" i="5"/>
  <c r="S115" i="5"/>
  <c r="R115" i="5"/>
  <c r="G115" i="5"/>
  <c r="O115" i="5"/>
  <c r="J113" i="5"/>
  <c r="S113" i="5"/>
  <c r="R113" i="5"/>
  <c r="G113" i="5"/>
  <c r="O113" i="5"/>
  <c r="L118" i="5"/>
  <c r="P118" i="5"/>
  <c r="Q115" i="6"/>
  <c r="M113" i="5"/>
  <c r="U113" i="5"/>
  <c r="U117" i="5"/>
  <c r="M123" i="5"/>
  <c r="K8" i="18"/>
  <c r="J8" i="18"/>
  <c r="L8" i="18"/>
  <c r="P57" i="3"/>
  <c r="J110" i="5"/>
  <c r="F110" i="5"/>
  <c r="M110" i="5"/>
  <c r="U110" i="5"/>
  <c r="M117" i="5"/>
  <c r="R120" i="5"/>
  <c r="P120" i="5"/>
  <c r="O120" i="5"/>
  <c r="U120" i="5"/>
  <c r="AT71" i="17" l="1"/>
  <c r="AU72" i="17"/>
  <c r="AU71" i="17"/>
  <c r="AA35" i="24"/>
  <c r="F35" i="24" s="1"/>
  <c r="L50" i="1"/>
  <c r="D21" i="24" s="1"/>
  <c r="J106" i="22"/>
  <c r="L106" i="22"/>
  <c r="H106" i="22"/>
  <c r="N108" i="1"/>
  <c r="N103" i="1"/>
  <c r="M121" i="1"/>
  <c r="H104" i="22"/>
  <c r="I75" i="15"/>
  <c r="AI30" i="15"/>
  <c r="AI29" i="15"/>
  <c r="AI28" i="15"/>
  <c r="AA34" i="24"/>
  <c r="F34" i="24" s="1"/>
  <c r="I14" i="30"/>
  <c r="I15" i="30" s="1"/>
  <c r="J14" i="30"/>
  <c r="J15" i="30" s="1"/>
  <c r="E139" i="24"/>
  <c r="E138" i="24"/>
  <c r="L59" i="18"/>
  <c r="F59" i="18" s="1"/>
  <c r="K57" i="18"/>
  <c r="K160" i="18" s="1"/>
  <c r="J52" i="18"/>
  <c r="J168" i="18" s="1"/>
  <c r="V66" i="17"/>
  <c r="U62" i="17"/>
  <c r="U66" i="17" s="1"/>
  <c r="AR72" i="17"/>
  <c r="K62" i="17"/>
  <c r="J62" i="17"/>
  <c r="N64" i="2"/>
  <c r="H64" i="2"/>
  <c r="K64" i="2"/>
  <c r="K62" i="2"/>
  <c r="I78" i="15"/>
  <c r="N107" i="1"/>
  <c r="E116" i="26"/>
  <c r="K105" i="22"/>
  <c r="L105" i="22"/>
  <c r="I50" i="15"/>
  <c r="C11" i="15"/>
  <c r="E11" i="15" s="1"/>
  <c r="E71" i="24"/>
  <c r="K31" i="15"/>
  <c r="D102" i="15" s="1"/>
  <c r="E102" i="15" s="1"/>
  <c r="J104" i="22"/>
  <c r="G46" i="15"/>
  <c r="I46" i="15" s="1"/>
  <c r="I45" i="15"/>
  <c r="C28" i="2"/>
  <c r="I28" i="2" s="1"/>
  <c r="C71" i="2"/>
  <c r="AH109" i="21"/>
  <c r="L32" i="21"/>
  <c r="K73" i="2"/>
  <c r="N73" i="2"/>
  <c r="H73" i="2"/>
  <c r="G79" i="15"/>
  <c r="N96" i="1"/>
  <c r="G58" i="15"/>
  <c r="G60" i="15"/>
  <c r="G59" i="15"/>
  <c r="N84" i="1"/>
  <c r="M62" i="1"/>
  <c r="L51" i="1"/>
  <c r="AL247" i="1"/>
  <c r="P10" i="8"/>
  <c r="H16" i="2" s="1"/>
  <c r="AL246" i="1"/>
  <c r="AJ245" i="1"/>
  <c r="C41" i="28"/>
  <c r="C40" i="28"/>
  <c r="L55" i="22"/>
  <c r="C178" i="24"/>
  <c r="E69" i="24"/>
  <c r="K104" i="22"/>
  <c r="L163" i="18"/>
  <c r="T66" i="17"/>
  <c r="T98" i="17"/>
  <c r="E99" i="26"/>
  <c r="C71" i="24"/>
  <c r="E100" i="26"/>
  <c r="G177" i="24"/>
  <c r="E117" i="26"/>
  <c r="G56" i="15"/>
  <c r="T87" i="6"/>
  <c r="J146" i="22"/>
  <c r="G147" i="22"/>
  <c r="K55" i="22"/>
  <c r="G164" i="24"/>
  <c r="H151" i="22"/>
  <c r="J105" i="22"/>
  <c r="S15" i="6"/>
  <c r="AN15" i="6"/>
  <c r="S12" i="6"/>
  <c r="AN12" i="6"/>
  <c r="S13" i="6"/>
  <c r="AN13" i="6"/>
  <c r="S9" i="6"/>
  <c r="AN9" i="6"/>
  <c r="S8" i="6"/>
  <c r="AN8" i="6"/>
  <c r="S11" i="6"/>
  <c r="AN11" i="6"/>
  <c r="W73" i="6"/>
  <c r="S7" i="6"/>
  <c r="AN7" i="6"/>
  <c r="S6" i="6"/>
  <c r="AN6" i="6"/>
  <c r="W75" i="7"/>
  <c r="F20" i="2"/>
  <c r="L20" i="2"/>
  <c r="I20" i="2"/>
  <c r="K20" i="2"/>
  <c r="T88" i="6"/>
  <c r="T89" i="6"/>
  <c r="K89" i="6"/>
  <c r="E90" i="6"/>
  <c r="T71" i="6"/>
  <c r="R108" i="7"/>
  <c r="R15" i="7" s="1"/>
  <c r="O108" i="7"/>
  <c r="O15" i="7" s="1"/>
  <c r="T90" i="6"/>
  <c r="T137" i="6" s="1"/>
  <c r="T14" i="6" s="1"/>
  <c r="E89" i="6"/>
  <c r="V135" i="6"/>
  <c r="K91" i="6"/>
  <c r="O137" i="6"/>
  <c r="O14" i="6" s="1"/>
  <c r="T69" i="6"/>
  <c r="E118" i="5"/>
  <c r="AC87" i="6"/>
  <c r="W71" i="6"/>
  <c r="N75" i="7"/>
  <c r="O135" i="6"/>
  <c r="O12" i="6" s="1"/>
  <c r="T113" i="5"/>
  <c r="N88" i="6"/>
  <c r="S112" i="7"/>
  <c r="S19" i="7" s="1"/>
  <c r="AC79" i="7"/>
  <c r="O109" i="7"/>
  <c r="O16" i="7" s="1"/>
  <c r="N117" i="6"/>
  <c r="N152" i="6" s="1"/>
  <c r="N25" i="6" s="1"/>
  <c r="R136" i="6"/>
  <c r="R137" i="6"/>
  <c r="R14" i="6" s="1"/>
  <c r="AC89" i="6"/>
  <c r="P123" i="6"/>
  <c r="K106" i="22"/>
  <c r="W79" i="7"/>
  <c r="E74" i="7"/>
  <c r="N91" i="6"/>
  <c r="V136" i="6"/>
  <c r="AO13" i="6" s="1"/>
  <c r="W88" i="6"/>
  <c r="W68" i="6"/>
  <c r="W74" i="6"/>
  <c r="W69" i="6"/>
  <c r="N74" i="7"/>
  <c r="O138" i="6"/>
  <c r="O15" i="6" s="1"/>
  <c r="O127" i="6"/>
  <c r="O10" i="6" s="1"/>
  <c r="T111" i="5"/>
  <c r="AC88" i="6"/>
  <c r="E111" i="5"/>
  <c r="Q119" i="5"/>
  <c r="V108" i="7"/>
  <c r="V15" i="7" s="1"/>
  <c r="U123" i="6"/>
  <c r="U6" i="6" s="1"/>
  <c r="U135" i="6"/>
  <c r="U12" i="6" s="1"/>
  <c r="P137" i="6"/>
  <c r="P135" i="6"/>
  <c r="T68" i="6"/>
  <c r="T74" i="7"/>
  <c r="T108" i="7" s="1"/>
  <c r="T15" i="7" s="1"/>
  <c r="K87" i="6"/>
  <c r="R138" i="6"/>
  <c r="R15" i="6" s="1"/>
  <c r="P138" i="6"/>
  <c r="W90" i="6"/>
  <c r="R123" i="6"/>
  <c r="R6" i="6" s="1"/>
  <c r="U138" i="6"/>
  <c r="U15" i="6" s="1"/>
  <c r="K69" i="6"/>
  <c r="H75" i="7"/>
  <c r="Q117" i="6"/>
  <c r="Q152" i="6" s="1"/>
  <c r="Q25" i="6" s="1"/>
  <c r="S151" i="6"/>
  <c r="S24" i="6" s="1"/>
  <c r="AN24" i="6" s="1"/>
  <c r="N70" i="6"/>
  <c r="Q118" i="5"/>
  <c r="U137" i="6"/>
  <c r="U14" i="6" s="1"/>
  <c r="W75" i="6"/>
  <c r="K68" i="6"/>
  <c r="AC68" i="6"/>
  <c r="E75" i="7"/>
  <c r="R135" i="6"/>
  <c r="R12" i="6" s="1"/>
  <c r="K74" i="6"/>
  <c r="U128" i="6"/>
  <c r="U11" i="6" s="1"/>
  <c r="O123" i="6"/>
  <c r="O6" i="6" s="1"/>
  <c r="AD78" i="7"/>
  <c r="AC91" i="6"/>
  <c r="T110" i="5"/>
  <c r="T117" i="6"/>
  <c r="T152" i="6" s="1"/>
  <c r="T25" i="6" s="1"/>
  <c r="E87" i="6"/>
  <c r="V14" i="6"/>
  <c r="H117" i="5"/>
  <c r="P136" i="6"/>
  <c r="N111" i="5"/>
  <c r="R127" i="6"/>
  <c r="R10" i="6" s="1"/>
  <c r="T115" i="5"/>
  <c r="E75" i="6"/>
  <c r="O124" i="6"/>
  <c r="O7" i="6" s="1"/>
  <c r="K70" i="6"/>
  <c r="N87" i="6"/>
  <c r="O128" i="6"/>
  <c r="O11" i="6" s="1"/>
  <c r="V13" i="6"/>
  <c r="E69" i="6"/>
  <c r="U127" i="6"/>
  <c r="U10" i="6" s="1"/>
  <c r="U109" i="7"/>
  <c r="U16" i="7" s="1"/>
  <c r="N79" i="7"/>
  <c r="H74" i="7"/>
  <c r="Q108" i="7" s="1"/>
  <c r="Q15" i="7" s="1"/>
  <c r="Q121" i="5"/>
  <c r="E125" i="5"/>
  <c r="Q112" i="5"/>
  <c r="Q110" i="5"/>
  <c r="U78" i="7"/>
  <c r="T79" i="7"/>
  <c r="O112" i="7"/>
  <c r="O19" i="7" s="1"/>
  <c r="Z75" i="7"/>
  <c r="N114" i="5"/>
  <c r="N110" i="5"/>
  <c r="S14" i="6"/>
  <c r="O140" i="6"/>
  <c r="AC75" i="7"/>
  <c r="T77" i="7"/>
  <c r="T78" i="7" s="1"/>
  <c r="P108" i="7"/>
  <c r="P15" i="7" s="1"/>
  <c r="K75" i="7"/>
  <c r="E79" i="7"/>
  <c r="Z79" i="7"/>
  <c r="U112" i="7"/>
  <c r="U19" i="7" s="1"/>
  <c r="H112" i="5"/>
  <c r="N121" i="5"/>
  <c r="F71" i="7"/>
  <c r="V15" i="6"/>
  <c r="S109" i="7"/>
  <c r="S16" i="7" s="1"/>
  <c r="P112" i="7"/>
  <c r="P19" i="7" s="1"/>
  <c r="N77" i="7"/>
  <c r="N78" i="7" s="1"/>
  <c r="Z68" i="6"/>
  <c r="Q123" i="6" s="1"/>
  <c r="Q6" i="6" s="1"/>
  <c r="V112" i="7"/>
  <c r="V19" i="7" s="1"/>
  <c r="R78" i="7"/>
  <c r="E117" i="5"/>
  <c r="E73" i="6"/>
  <c r="N147" i="6"/>
  <c r="N20" i="6" s="1"/>
  <c r="R112" i="7"/>
  <c r="R19" i="7" s="1"/>
  <c r="K79" i="7"/>
  <c r="AR71" i="17"/>
  <c r="W91" i="6"/>
  <c r="P109" i="7"/>
  <c r="P16" i="7" s="1"/>
  <c r="T57" i="3"/>
  <c r="V57" i="3" s="1"/>
  <c r="V65" i="3" s="1"/>
  <c r="U65" i="3" s="1"/>
  <c r="U20" i="3" s="1"/>
  <c r="J10" i="2" s="1"/>
  <c r="AC75" i="6"/>
  <c r="E112" i="5"/>
  <c r="H79" i="7"/>
  <c r="R109" i="7"/>
  <c r="R16" i="7" s="1"/>
  <c r="H118" i="5"/>
  <c r="AC70" i="6"/>
  <c r="Q75" i="7"/>
  <c r="U124" i="6"/>
  <c r="U7" i="6" s="1"/>
  <c r="Q138" i="6"/>
  <c r="Q15" i="6" s="1"/>
  <c r="K112" i="5"/>
  <c r="V127" i="6"/>
  <c r="L78" i="7"/>
  <c r="I62" i="17"/>
  <c r="Q77" i="7"/>
  <c r="Q78" i="7" s="1"/>
  <c r="E70" i="6"/>
  <c r="V109" i="7"/>
  <c r="V16" i="7" s="1"/>
  <c r="P111" i="7"/>
  <c r="P18" i="7" s="1"/>
  <c r="AC77" i="7"/>
  <c r="AC78" i="7" s="1"/>
  <c r="W77" i="7"/>
  <c r="W78" i="7" s="1"/>
  <c r="V78" i="7"/>
  <c r="Z69" i="7"/>
  <c r="AA71" i="7"/>
  <c r="R124" i="6"/>
  <c r="R7" i="6" s="1"/>
  <c r="AC69" i="6"/>
  <c r="V123" i="6"/>
  <c r="AC73" i="6"/>
  <c r="E71" i="6"/>
  <c r="S10" i="6"/>
  <c r="U71" i="7"/>
  <c r="E68" i="6"/>
  <c r="P124" i="6"/>
  <c r="Q96" i="6"/>
  <c r="Q140" i="6" s="1"/>
  <c r="R140" i="6"/>
  <c r="T81" i="6"/>
  <c r="T131" i="6" s="1"/>
  <c r="U131" i="6"/>
  <c r="P128" i="6"/>
  <c r="J55" i="22"/>
  <c r="B20" i="24"/>
  <c r="H130" i="22"/>
  <c r="T119" i="5"/>
  <c r="N119" i="5"/>
  <c r="Q120" i="5"/>
  <c r="N116" i="5"/>
  <c r="Q116" i="5"/>
  <c r="C61" i="24"/>
  <c r="K63" i="2"/>
  <c r="I26" i="2"/>
  <c r="I27" i="2"/>
  <c r="H63" i="2"/>
  <c r="K117" i="5"/>
  <c r="N113" i="5"/>
  <c r="T70" i="7"/>
  <c r="X78" i="7"/>
  <c r="Q69" i="7"/>
  <c r="N72" i="6"/>
  <c r="T112" i="5"/>
  <c r="P151" i="6"/>
  <c r="P24" i="6" s="1"/>
  <c r="AM24" i="6" s="1"/>
  <c r="AC74" i="6"/>
  <c r="O71" i="7"/>
  <c r="F78" i="7"/>
  <c r="E77" i="7"/>
  <c r="E78" i="7" s="1"/>
  <c r="J169" i="18"/>
  <c r="K70" i="7"/>
  <c r="H77" i="7"/>
  <c r="H78" i="7" s="1"/>
  <c r="Z78" i="7"/>
  <c r="M78" i="7"/>
  <c r="K77" i="7"/>
  <c r="K78" i="7" s="1"/>
  <c r="AA78" i="7"/>
  <c r="S71" i="7"/>
  <c r="N115" i="5"/>
  <c r="H114" i="5"/>
  <c r="O125" i="6"/>
  <c r="O8" i="6" s="1"/>
  <c r="T118" i="5"/>
  <c r="E116" i="5"/>
  <c r="H116" i="5"/>
  <c r="R71" i="7"/>
  <c r="N75" i="6"/>
  <c r="T147" i="6"/>
  <c r="T20" i="6" s="1"/>
  <c r="N73" i="6"/>
  <c r="AC71" i="6"/>
  <c r="N71" i="6"/>
  <c r="T73" i="6"/>
  <c r="AB71" i="7"/>
  <c r="N69" i="6"/>
  <c r="K118" i="5"/>
  <c r="Q117" i="5"/>
  <c r="H111" i="5"/>
  <c r="P125" i="6"/>
  <c r="E70" i="7"/>
  <c r="V125" i="6"/>
  <c r="V128" i="6"/>
  <c r="T75" i="6"/>
  <c r="T120" i="5"/>
  <c r="H115" i="5"/>
  <c r="AC70" i="7"/>
  <c r="AD71" i="7"/>
  <c r="Q135" i="6"/>
  <c r="Q12" i="6" s="1"/>
  <c r="Q127" i="6"/>
  <c r="Q10" i="6" s="1"/>
  <c r="K115" i="5"/>
  <c r="T116" i="5"/>
  <c r="N74" i="6"/>
  <c r="P127" i="6"/>
  <c r="T72" i="6"/>
  <c r="V126" i="6"/>
  <c r="V124" i="6"/>
  <c r="P126" i="6"/>
  <c r="O135" i="5"/>
  <c r="O17" i="5" s="1"/>
  <c r="N118" i="5"/>
  <c r="E115" i="5"/>
  <c r="L71" i="7"/>
  <c r="Q137" i="6"/>
  <c r="Q14" i="6" s="1"/>
  <c r="T121" i="5"/>
  <c r="R135" i="5"/>
  <c r="R17" i="5" s="1"/>
  <c r="N151" i="6"/>
  <c r="N24" i="6" s="1"/>
  <c r="Q136" i="6"/>
  <c r="N112" i="5"/>
  <c r="N117" i="5"/>
  <c r="V62" i="11"/>
  <c r="N17" i="2" s="1"/>
  <c r="R125" i="6"/>
  <c r="R8" i="6" s="1"/>
  <c r="Q125" i="6"/>
  <c r="Q8" i="6" s="1"/>
  <c r="O126" i="6"/>
  <c r="O9" i="6" s="1"/>
  <c r="I126" i="5"/>
  <c r="R137" i="5" s="1"/>
  <c r="R19" i="5" s="1"/>
  <c r="R128" i="6"/>
  <c r="R11" i="6" s="1"/>
  <c r="H75" i="6"/>
  <c r="Q128" i="6" s="1"/>
  <c r="Q11" i="6" s="1"/>
  <c r="H69" i="6"/>
  <c r="Q124" i="6" s="1"/>
  <c r="Q7" i="6" s="1"/>
  <c r="X71" i="7"/>
  <c r="W70" i="7"/>
  <c r="Q147" i="6"/>
  <c r="Q20" i="6" s="1"/>
  <c r="Q126" i="6"/>
  <c r="Q9" i="6" s="1"/>
  <c r="I71" i="7"/>
  <c r="K73" i="6"/>
  <c r="U126" i="6"/>
  <c r="U9" i="6" s="1"/>
  <c r="AS72" i="17"/>
  <c r="AS71" i="17"/>
  <c r="G126" i="5"/>
  <c r="P137" i="5" s="1"/>
  <c r="P19" i="5" s="1"/>
  <c r="L126" i="5"/>
  <c r="U137" i="5" s="1"/>
  <c r="U19" i="5" s="1"/>
  <c r="F126" i="5"/>
  <c r="O137" i="5" s="1"/>
  <c r="O19" i="5" s="1"/>
  <c r="M126" i="5"/>
  <c r="K125" i="5"/>
  <c r="T114" i="5"/>
  <c r="K114" i="5"/>
  <c r="E114" i="5"/>
  <c r="Q111" i="5"/>
  <c r="O136" i="6"/>
  <c r="U136" i="6"/>
  <c r="U13" i="6" s="1"/>
  <c r="Q70" i="7"/>
  <c r="U125" i="6"/>
  <c r="K71" i="6"/>
  <c r="K116" i="5"/>
  <c r="N70" i="7"/>
  <c r="R136" i="5"/>
  <c r="R18" i="5" s="1"/>
  <c r="Q115" i="5"/>
  <c r="U135" i="5"/>
  <c r="U17" i="5" s="1"/>
  <c r="U136" i="5"/>
  <c r="U18" i="5" s="1"/>
  <c r="O136" i="5"/>
  <c r="O18" i="5" s="1"/>
  <c r="T114" i="6"/>
  <c r="T151" i="6" s="1"/>
  <c r="T24" i="6" s="1"/>
  <c r="V151" i="6"/>
  <c r="V24" i="6" s="1"/>
  <c r="AO24" i="6" s="1"/>
  <c r="R126" i="6"/>
  <c r="R9" i="6" s="1"/>
  <c r="K123" i="5"/>
  <c r="N120" i="5"/>
  <c r="K110" i="5"/>
  <c r="V135" i="5"/>
  <c r="V17" i="5" s="1"/>
  <c r="H110" i="5"/>
  <c r="S135" i="5"/>
  <c r="S17" i="5" s="1"/>
  <c r="K113" i="5"/>
  <c r="V136" i="5"/>
  <c r="V18" i="5" s="1"/>
  <c r="E113" i="5"/>
  <c r="P136" i="5"/>
  <c r="P18" i="5" s="1"/>
  <c r="Q113" i="5"/>
  <c r="P71" i="7"/>
  <c r="N69" i="7"/>
  <c r="Y71" i="7"/>
  <c r="Q57" i="3"/>
  <c r="S57" i="3" s="1"/>
  <c r="H123" i="5"/>
  <c r="S137" i="5"/>
  <c r="S19" i="5" s="1"/>
  <c r="K111" i="5"/>
  <c r="N62" i="2"/>
  <c r="C29" i="2"/>
  <c r="C72" i="2"/>
  <c r="E69" i="7"/>
  <c r="G71" i="7"/>
  <c r="P135" i="5"/>
  <c r="P17" i="5" s="1"/>
  <c r="K104" i="6"/>
  <c r="T146" i="6" s="1"/>
  <c r="T19" i="6" s="1"/>
  <c r="V146" i="6"/>
  <c r="V19" i="6" s="1"/>
  <c r="AL19" i="6" s="1"/>
  <c r="AL26" i="6" s="1"/>
  <c r="P146" i="6"/>
  <c r="P19" i="6" s="1"/>
  <c r="AJ19" i="6" s="1"/>
  <c r="AJ26" i="6" s="1"/>
  <c r="E104" i="6"/>
  <c r="N146" i="6" s="1"/>
  <c r="N19" i="6" s="1"/>
  <c r="H104" i="6"/>
  <c r="Q146" i="6" s="1"/>
  <c r="Q19" i="6" s="1"/>
  <c r="S146" i="6"/>
  <c r="S19" i="6" s="1"/>
  <c r="AK19" i="6" s="1"/>
  <c r="AK26" i="6" s="1"/>
  <c r="Z70" i="7"/>
  <c r="K124" i="5"/>
  <c r="E124" i="5"/>
  <c r="H124" i="5"/>
  <c r="H69" i="7"/>
  <c r="AC69" i="7"/>
  <c r="H113" i="5"/>
  <c r="S136" i="5"/>
  <c r="S18" i="5" s="1"/>
  <c r="T69" i="7"/>
  <c r="V71" i="7"/>
  <c r="W69" i="7"/>
  <c r="Q151" i="6"/>
  <c r="Q24" i="6" s="1"/>
  <c r="S111" i="7"/>
  <c r="S18" i="7" s="1"/>
  <c r="E123" i="5"/>
  <c r="T117" i="5"/>
  <c r="K69" i="7"/>
  <c r="M71" i="7"/>
  <c r="W57" i="3"/>
  <c r="Y57" i="3" s="1"/>
  <c r="H70" i="7"/>
  <c r="E110" i="5"/>
  <c r="J71" i="7"/>
  <c r="AE71" i="7"/>
  <c r="H107" i="22" l="1"/>
  <c r="N123" i="6"/>
  <c r="N6" i="6" s="1"/>
  <c r="D11" i="15"/>
  <c r="F14" i="24"/>
  <c r="L124" i="1"/>
  <c r="A85" i="26" s="1"/>
  <c r="E57" i="18"/>
  <c r="J55" i="18"/>
  <c r="J157" i="18" s="1"/>
  <c r="D157" i="18" s="1"/>
  <c r="F104" i="22"/>
  <c r="C13" i="15"/>
  <c r="E13" i="15" s="1"/>
  <c r="C179" i="24"/>
  <c r="B32" i="15"/>
  <c r="D156" i="24"/>
  <c r="F120" i="24"/>
  <c r="D160" i="18"/>
  <c r="D163" i="18"/>
  <c r="J66" i="17"/>
  <c r="I98" i="17"/>
  <c r="K66" i="17"/>
  <c r="N20" i="2"/>
  <c r="K67" i="2"/>
  <c r="K69" i="2" s="1"/>
  <c r="H62" i="2"/>
  <c r="F69" i="2" s="1"/>
  <c r="I79" i="15"/>
  <c r="I66" i="15"/>
  <c r="I65" i="15"/>
  <c r="I67" i="15"/>
  <c r="I59" i="15"/>
  <c r="I58" i="15"/>
  <c r="I60" i="15"/>
  <c r="I56" i="15"/>
  <c r="L107" i="22"/>
  <c r="J107" i="22"/>
  <c r="J140" i="22" s="1"/>
  <c r="E95" i="15"/>
  <c r="E70" i="24"/>
  <c r="C177" i="24" s="1"/>
  <c r="I47" i="15"/>
  <c r="D57" i="14"/>
  <c r="D126" i="26"/>
  <c r="I9" i="28"/>
  <c r="E120" i="24"/>
  <c r="F28" i="2"/>
  <c r="D16" i="14"/>
  <c r="D13" i="15"/>
  <c r="G57" i="15"/>
  <c r="M64" i="1"/>
  <c r="G51" i="15"/>
  <c r="L125" i="1"/>
  <c r="AL245" i="1"/>
  <c r="F27" i="2"/>
  <c r="F29" i="2"/>
  <c r="F26" i="2"/>
  <c r="H20" i="2"/>
  <c r="M246" i="1"/>
  <c r="L141" i="22"/>
  <c r="J9" i="28"/>
  <c r="K107" i="22"/>
  <c r="K141" i="22"/>
  <c r="D157" i="24"/>
  <c r="G36" i="15"/>
  <c r="G35" i="15"/>
  <c r="G34" i="15"/>
  <c r="S65" i="3"/>
  <c r="R65" i="3" s="1"/>
  <c r="C87" i="24"/>
  <c r="E146" i="24"/>
  <c r="J141" i="22"/>
  <c r="E148" i="24"/>
  <c r="E147" i="24"/>
  <c r="G165" i="24"/>
  <c r="L151" i="22"/>
  <c r="K151" i="22"/>
  <c r="G166" i="24"/>
  <c r="P12" i="6"/>
  <c r="AM12" i="6"/>
  <c r="V12" i="6"/>
  <c r="AO12" i="6"/>
  <c r="P13" i="6"/>
  <c r="AM13" i="6"/>
  <c r="P15" i="6"/>
  <c r="AM15" i="6"/>
  <c r="P14" i="6"/>
  <c r="AM14" i="6"/>
  <c r="P9" i="6"/>
  <c r="AM9" i="6"/>
  <c r="V9" i="6"/>
  <c r="AO9" i="6"/>
  <c r="P10" i="6"/>
  <c r="AM10" i="6"/>
  <c r="V8" i="6"/>
  <c r="AO8" i="6"/>
  <c r="P8" i="6"/>
  <c r="AM8" i="6"/>
  <c r="V11" i="6"/>
  <c r="AO11" i="6"/>
  <c r="P11" i="6"/>
  <c r="AM11" i="6"/>
  <c r="V10" i="6"/>
  <c r="AO10" i="6"/>
  <c r="AN26" i="6"/>
  <c r="V7" i="6"/>
  <c r="AO7" i="6"/>
  <c r="P7" i="6"/>
  <c r="AM7" i="6"/>
  <c r="V6" i="6"/>
  <c r="AO6" i="6"/>
  <c r="AM6" i="6"/>
  <c r="P6" i="6"/>
  <c r="J151" i="22"/>
  <c r="K66" i="2"/>
  <c r="L130" i="22"/>
  <c r="T136" i="6"/>
  <c r="T13" i="6" s="1"/>
  <c r="N138" i="6"/>
  <c r="N15" i="6" s="1"/>
  <c r="N137" i="6"/>
  <c r="N14" i="6" s="1"/>
  <c r="N136" i="6"/>
  <c r="N13" i="6" s="1"/>
  <c r="T138" i="6"/>
  <c r="T15" i="6" s="1"/>
  <c r="T135" i="6"/>
  <c r="T12" i="6" s="1"/>
  <c r="N109" i="7"/>
  <c r="N16" i="7" s="1"/>
  <c r="B21" i="24"/>
  <c r="R13" i="6"/>
  <c r="R26" i="6" s="1"/>
  <c r="J14" i="2" s="1"/>
  <c r="N108" i="7"/>
  <c r="N15" i="7" s="1"/>
  <c r="T123" i="6"/>
  <c r="T6" i="6" s="1"/>
  <c r="N127" i="6"/>
  <c r="N10" i="6" s="1"/>
  <c r="T124" i="6"/>
  <c r="T7" i="6" s="1"/>
  <c r="O13" i="6"/>
  <c r="O26" i="6" s="1"/>
  <c r="G14" i="2" s="1"/>
  <c r="N124" i="6"/>
  <c r="N7" i="6" s="1"/>
  <c r="T127" i="6"/>
  <c r="T10" i="6" s="1"/>
  <c r="N135" i="6"/>
  <c r="N12" i="6" s="1"/>
  <c r="N128" i="6"/>
  <c r="N11" i="6" s="1"/>
  <c r="N112" i="7"/>
  <c r="N19" i="7" s="1"/>
  <c r="T112" i="7"/>
  <c r="T19" i="7" s="1"/>
  <c r="U111" i="7"/>
  <c r="U18" i="7" s="1"/>
  <c r="Q109" i="7"/>
  <c r="Q16" i="7" s="1"/>
  <c r="T109" i="7"/>
  <c r="T16" i="7" s="1"/>
  <c r="Q112" i="7"/>
  <c r="Q19" i="7" s="1"/>
  <c r="R111" i="7"/>
  <c r="R18" i="7" s="1"/>
  <c r="I66" i="17"/>
  <c r="V111" i="7"/>
  <c r="V18" i="7" s="1"/>
  <c r="T128" i="6"/>
  <c r="T11" i="6" s="1"/>
  <c r="J130" i="22"/>
  <c r="U8" i="6"/>
  <c r="U26" i="6" s="1"/>
  <c r="M14" i="2" s="1"/>
  <c r="Z71" i="7"/>
  <c r="N125" i="6"/>
  <c r="N8" i="6" s="1"/>
  <c r="S26" i="6"/>
  <c r="K14" i="2" s="1"/>
  <c r="Q13" i="6"/>
  <c r="Q26" i="6" s="1"/>
  <c r="I14" i="2" s="1"/>
  <c r="N72" i="1"/>
  <c r="N111" i="7"/>
  <c r="N18" i="7" s="1"/>
  <c r="I69" i="2"/>
  <c r="T71" i="7"/>
  <c r="K71" i="7"/>
  <c r="Q71" i="7"/>
  <c r="T111" i="7"/>
  <c r="T18" i="7" s="1"/>
  <c r="O111" i="7"/>
  <c r="O18" i="7" s="1"/>
  <c r="I29" i="2"/>
  <c r="L27" i="2"/>
  <c r="L28" i="2"/>
  <c r="I72" i="2"/>
  <c r="I70" i="2"/>
  <c r="I71" i="2"/>
  <c r="L29" i="2"/>
  <c r="L26" i="2"/>
  <c r="B22" i="24"/>
  <c r="O107" i="7"/>
  <c r="O14" i="7" s="1"/>
  <c r="R107" i="7"/>
  <c r="R14" i="7" s="1"/>
  <c r="H108" i="22"/>
  <c r="N126" i="6"/>
  <c r="T125" i="6"/>
  <c r="T8" i="6" s="1"/>
  <c r="K130" i="22"/>
  <c r="Q111" i="7"/>
  <c r="Q18" i="7" s="1"/>
  <c r="S107" i="7"/>
  <c r="S14" i="7" s="1"/>
  <c r="S20" i="7" s="1"/>
  <c r="AC71" i="7"/>
  <c r="N71" i="7"/>
  <c r="U107" i="7"/>
  <c r="U14" i="7" s="1"/>
  <c r="N135" i="5"/>
  <c r="N17" i="5" s="1"/>
  <c r="E71" i="7"/>
  <c r="K126" i="5"/>
  <c r="T137" i="5" s="1"/>
  <c r="T19" i="5" s="1"/>
  <c r="T126" i="6"/>
  <c r="N136" i="5"/>
  <c r="N18" i="5" s="1"/>
  <c r="P107" i="7"/>
  <c r="P14" i="7" s="1"/>
  <c r="H12" i="2" s="1"/>
  <c r="N63" i="2"/>
  <c r="Q135" i="5"/>
  <c r="Q17" i="5" s="1"/>
  <c r="H126" i="5"/>
  <c r="Q137" i="5" s="1"/>
  <c r="Q19" i="5" s="1"/>
  <c r="R20" i="5"/>
  <c r="J11" i="2" s="1"/>
  <c r="W71" i="7"/>
  <c r="E126" i="5"/>
  <c r="N137" i="5" s="1"/>
  <c r="N19" i="5" s="1"/>
  <c r="U20" i="5"/>
  <c r="M11" i="2" s="1"/>
  <c r="O20" i="5"/>
  <c r="G11" i="2" s="1"/>
  <c r="V137" i="5"/>
  <c r="V19" i="5" s="1"/>
  <c r="V20" i="5" s="1"/>
  <c r="N11" i="2" s="1"/>
  <c r="Q136" i="5"/>
  <c r="Q18" i="5" s="1"/>
  <c r="V107" i="7"/>
  <c r="V14" i="7" s="1"/>
  <c r="Y65" i="3"/>
  <c r="X65" i="3" s="1"/>
  <c r="X20" i="3" s="1"/>
  <c r="M10" i="2" s="1"/>
  <c r="P20" i="5"/>
  <c r="H11" i="2" s="1"/>
  <c r="S20" i="5"/>
  <c r="K11" i="2" s="1"/>
  <c r="H71" i="7"/>
  <c r="T136" i="5"/>
  <c r="T18" i="5" s="1"/>
  <c r="T135" i="5"/>
  <c r="T17" i="5" s="1"/>
  <c r="T65" i="3"/>
  <c r="T20" i="3" s="1"/>
  <c r="I10" i="2" s="1"/>
  <c r="V20" i="3"/>
  <c r="K10" i="2" s="1"/>
  <c r="D96" i="26" l="1"/>
  <c r="D98" i="26"/>
  <c r="E98" i="26" s="1"/>
  <c r="D97" i="26"/>
  <c r="D55" i="18"/>
  <c r="K121" i="22"/>
  <c r="L140" i="22"/>
  <c r="D140" i="24" s="1"/>
  <c r="H67" i="2"/>
  <c r="H69" i="2" s="1"/>
  <c r="L120" i="22"/>
  <c r="F70" i="2"/>
  <c r="L119" i="22"/>
  <c r="L122" i="22"/>
  <c r="L121" i="22"/>
  <c r="L135" i="22"/>
  <c r="L137" i="22" s="1"/>
  <c r="I68" i="15"/>
  <c r="J121" i="22"/>
  <c r="J122" i="22"/>
  <c r="D123" i="26"/>
  <c r="G157" i="24"/>
  <c r="K135" i="22"/>
  <c r="K137" i="22" s="1"/>
  <c r="K70" i="2"/>
  <c r="K72" i="2"/>
  <c r="K71" i="2"/>
  <c r="F72" i="2"/>
  <c r="F71" i="2"/>
  <c r="H66" i="2"/>
  <c r="I80" i="15"/>
  <c r="J120" i="22"/>
  <c r="G156" i="24"/>
  <c r="J135" i="22"/>
  <c r="J137" i="22" s="1"/>
  <c r="J119" i="22"/>
  <c r="C81" i="24"/>
  <c r="I57" i="15"/>
  <c r="I51" i="15"/>
  <c r="I34" i="15"/>
  <c r="K34" i="15" s="1"/>
  <c r="F11" i="15"/>
  <c r="I35" i="15"/>
  <c r="K35" i="15" s="1"/>
  <c r="F95" i="15"/>
  <c r="G10" i="15"/>
  <c r="H152" i="22"/>
  <c r="G21" i="24" s="1"/>
  <c r="D138" i="24"/>
  <c r="E81" i="24"/>
  <c r="D128" i="26"/>
  <c r="D127" i="26"/>
  <c r="B23" i="24"/>
  <c r="D124" i="26"/>
  <c r="D11" i="14"/>
  <c r="E181" i="1"/>
  <c r="C14" i="15"/>
  <c r="M65" i="1"/>
  <c r="G181" i="1"/>
  <c r="J36" i="15" s="1"/>
  <c r="F105" i="22"/>
  <c r="K120" i="22"/>
  <c r="K119" i="22"/>
  <c r="K122" i="22"/>
  <c r="K152" i="22"/>
  <c r="K140" i="22"/>
  <c r="AM26" i="6"/>
  <c r="N107" i="7"/>
  <c r="N14" i="7" s="1"/>
  <c r="V26" i="6"/>
  <c r="N14" i="2" s="1"/>
  <c r="H135" i="22"/>
  <c r="J152" i="22"/>
  <c r="L152" i="22"/>
  <c r="AO26" i="6"/>
  <c r="P26" i="6"/>
  <c r="H14" i="2" s="1"/>
  <c r="J170" i="18"/>
  <c r="H114" i="22"/>
  <c r="H119" i="22"/>
  <c r="N66" i="2"/>
  <c r="N67" i="2"/>
  <c r="R20" i="7"/>
  <c r="H121" i="22"/>
  <c r="U20" i="7"/>
  <c r="Q107" i="7"/>
  <c r="Q14" i="7" s="1"/>
  <c r="I12" i="2" s="1"/>
  <c r="T9" i="6"/>
  <c r="T26" i="6" s="1"/>
  <c r="L14" i="2" s="1"/>
  <c r="N9" i="6"/>
  <c r="N26" i="6" s="1"/>
  <c r="F14" i="2" s="1"/>
  <c r="O20" i="7"/>
  <c r="M124" i="1"/>
  <c r="N121" i="1"/>
  <c r="T107" i="7"/>
  <c r="T14" i="7" s="1"/>
  <c r="L12" i="2" s="1"/>
  <c r="L69" i="2"/>
  <c r="G12" i="2"/>
  <c r="L70" i="2"/>
  <c r="L71" i="2"/>
  <c r="L72" i="2"/>
  <c r="J12" i="2"/>
  <c r="K12" i="2"/>
  <c r="H120" i="22"/>
  <c r="H122" i="22"/>
  <c r="M12" i="2"/>
  <c r="N20" i="5"/>
  <c r="F11" i="2" s="1"/>
  <c r="P20" i="7"/>
  <c r="H13" i="2" s="1"/>
  <c r="Q20" i="5"/>
  <c r="I11" i="2" s="1"/>
  <c r="T20" i="5"/>
  <c r="L11" i="2" s="1"/>
  <c r="S20" i="3"/>
  <c r="H10" i="2" s="1"/>
  <c r="R20" i="3"/>
  <c r="G10" i="2" s="1"/>
  <c r="H23" i="2"/>
  <c r="W65" i="3"/>
  <c r="W20" i="3" s="1"/>
  <c r="L10" i="2" s="1"/>
  <c r="Y20" i="3"/>
  <c r="N10" i="2" s="1"/>
  <c r="N12" i="2"/>
  <c r="V20" i="7"/>
  <c r="G27" i="24" l="1"/>
  <c r="H70" i="2"/>
  <c r="L136" i="22"/>
  <c r="H71" i="2"/>
  <c r="H72" i="2"/>
  <c r="K136" i="22"/>
  <c r="J136" i="22"/>
  <c r="I61" i="15"/>
  <c r="I52" i="15"/>
  <c r="H11" i="15"/>
  <c r="G11" i="15"/>
  <c r="J11" i="15" s="1"/>
  <c r="L23" i="2"/>
  <c r="I23" i="2"/>
  <c r="D95" i="15"/>
  <c r="H10" i="15"/>
  <c r="F10" i="15"/>
  <c r="G137" i="24"/>
  <c r="G148" i="24"/>
  <c r="D139" i="24"/>
  <c r="D148" i="24"/>
  <c r="G146" i="24"/>
  <c r="G147" i="24"/>
  <c r="D146" i="24"/>
  <c r="G145" i="24"/>
  <c r="D58" i="24"/>
  <c r="E14" i="15"/>
  <c r="D14" i="15"/>
  <c r="N69" i="2"/>
  <c r="I232" i="1"/>
  <c r="I181" i="1"/>
  <c r="H36" i="15"/>
  <c r="M125" i="1"/>
  <c r="M23" i="2"/>
  <c r="G23" i="24"/>
  <c r="G182" i="24"/>
  <c r="A102" i="26"/>
  <c r="G22" i="24"/>
  <c r="K13" i="2"/>
  <c r="N72" i="2"/>
  <c r="J13" i="2"/>
  <c r="N70" i="2"/>
  <c r="N71" i="2"/>
  <c r="D115" i="26"/>
  <c r="G179" i="24"/>
  <c r="D87" i="24"/>
  <c r="D114" i="26"/>
  <c r="D113" i="26"/>
  <c r="Q20" i="7"/>
  <c r="I13" i="2" s="1"/>
  <c r="F106" i="22"/>
  <c r="N124" i="1"/>
  <c r="F16" i="24"/>
  <c r="G13" i="2"/>
  <c r="T20" i="7"/>
  <c r="L13" i="2" s="1"/>
  <c r="E12" i="14"/>
  <c r="N20" i="7"/>
  <c r="G23" i="2"/>
  <c r="M13" i="2"/>
  <c r="J23" i="2"/>
  <c r="F12" i="14"/>
  <c r="K23" i="2"/>
  <c r="H137" i="22"/>
  <c r="H136" i="22"/>
  <c r="G12" i="14"/>
  <c r="N13" i="2"/>
  <c r="G7" i="14"/>
  <c r="M22" i="2"/>
  <c r="F7" i="14"/>
  <c r="J22" i="2"/>
  <c r="F14" i="15"/>
  <c r="I11" i="15"/>
  <c r="N23" i="2"/>
  <c r="Q65" i="3"/>
  <c r="Q20" i="3" s="1"/>
  <c r="F10" i="2" s="1"/>
  <c r="F31" i="24"/>
  <c r="F27" i="24"/>
  <c r="I22" i="2"/>
  <c r="F29" i="24"/>
  <c r="E88" i="24" l="1"/>
  <c r="H116" i="22"/>
  <c r="I86" i="15"/>
  <c r="M19" i="2"/>
  <c r="E55" i="23" s="1"/>
  <c r="I14" i="15"/>
  <c r="G13" i="14"/>
  <c r="F100" i="24" s="1"/>
  <c r="F13" i="14"/>
  <c r="E100" i="24" s="1"/>
  <c r="E13" i="14"/>
  <c r="E22" i="14" s="1"/>
  <c r="J19" i="2"/>
  <c r="G29" i="24"/>
  <c r="I36" i="15"/>
  <c r="AI36" i="15" s="1"/>
  <c r="G31" i="24"/>
  <c r="E115" i="26"/>
  <c r="F8" i="14"/>
  <c r="E99" i="24" s="1"/>
  <c r="G8" i="14"/>
  <c r="G21" i="14" s="1"/>
  <c r="D147" i="24"/>
  <c r="L232" i="1"/>
  <c r="L181" i="1"/>
  <c r="N125" i="1"/>
  <c r="A119" i="26"/>
  <c r="C52" i="24"/>
  <c r="C53" i="24"/>
  <c r="F13" i="24"/>
  <c r="E145" i="24"/>
  <c r="E137" i="24"/>
  <c r="J132" i="22"/>
  <c r="K132" i="22"/>
  <c r="L155" i="22"/>
  <c r="J155" i="22"/>
  <c r="K155" i="22"/>
  <c r="H154" i="22"/>
  <c r="J154" i="22"/>
  <c r="L154" i="22"/>
  <c r="K154" i="22"/>
  <c r="H155" i="22"/>
  <c r="F120" i="26"/>
  <c r="F122" i="26"/>
  <c r="F121" i="26"/>
  <c r="D23" i="24"/>
  <c r="L132" i="22"/>
  <c r="E52" i="24"/>
  <c r="E53" i="24"/>
  <c r="B17" i="24"/>
  <c r="L133" i="22"/>
  <c r="H115" i="22"/>
  <c r="D122" i="26"/>
  <c r="B16" i="24"/>
  <c r="H133" i="22"/>
  <c r="B15" i="24"/>
  <c r="D120" i="26"/>
  <c r="K133" i="22"/>
  <c r="C6" i="15"/>
  <c r="D121" i="26"/>
  <c r="J133" i="22"/>
  <c r="E58" i="24"/>
  <c r="F12" i="2"/>
  <c r="G14" i="15"/>
  <c r="N19" i="2"/>
  <c r="E7" i="14"/>
  <c r="G19" i="2"/>
  <c r="E119" i="24" s="1"/>
  <c r="G22" i="2"/>
  <c r="I10" i="15"/>
  <c r="H19" i="2"/>
  <c r="E127" i="24" s="1"/>
  <c r="H22" i="2"/>
  <c r="L19" i="2"/>
  <c r="L22" i="2"/>
  <c r="N22" i="2"/>
  <c r="K10" i="15"/>
  <c r="K19" i="2"/>
  <c r="F127" i="24" s="1"/>
  <c r="K22" i="2"/>
  <c r="I19" i="2"/>
  <c r="H14" i="15"/>
  <c r="K11" i="15"/>
  <c r="D60" i="24" l="1"/>
  <c r="D59" i="24"/>
  <c r="F22" i="14"/>
  <c r="F21" i="14"/>
  <c r="J17" i="17" s="1"/>
  <c r="C60" i="24"/>
  <c r="D55" i="23"/>
  <c r="F126" i="24" s="1"/>
  <c r="F119" i="24"/>
  <c r="AC121" i="24" s="1"/>
  <c r="AB121" i="24"/>
  <c r="D100" i="24"/>
  <c r="F99" i="24"/>
  <c r="G22" i="14"/>
  <c r="AI34" i="15"/>
  <c r="AI39" i="15" s="1"/>
  <c r="K83" i="15" s="1"/>
  <c r="AI35" i="15"/>
  <c r="K36" i="15"/>
  <c r="J31" i="2"/>
  <c r="M24" i="2"/>
  <c r="J24" i="2"/>
  <c r="M21" i="2"/>
  <c r="M32" i="2" s="1"/>
  <c r="J21" i="2"/>
  <c r="D114" i="24" s="1"/>
  <c r="F17" i="14"/>
  <c r="F18" i="14" s="1"/>
  <c r="M31" i="2"/>
  <c r="G17" i="14"/>
  <c r="E12" i="30" s="1"/>
  <c r="M30" i="2"/>
  <c r="J30" i="2"/>
  <c r="AI40" i="15"/>
  <c r="I84" i="15" s="1"/>
  <c r="K14" i="15"/>
  <c r="J14" i="15"/>
  <c r="F23" i="2"/>
  <c r="AI41" i="15"/>
  <c r="K85" i="15" s="1"/>
  <c r="E8" i="14"/>
  <c r="C59" i="24" s="1"/>
  <c r="C16" i="15"/>
  <c r="D137" i="24"/>
  <c r="H132" i="22"/>
  <c r="G20" i="24"/>
  <c r="K37" i="15"/>
  <c r="B38" i="15" s="1"/>
  <c r="B14" i="24"/>
  <c r="C55" i="23"/>
  <c r="E126" i="24" s="1"/>
  <c r="V17" i="17"/>
  <c r="K17" i="17"/>
  <c r="H121" i="26"/>
  <c r="H122" i="26"/>
  <c r="K31" i="2"/>
  <c r="K30" i="2"/>
  <c r="L31" i="2"/>
  <c r="L30" i="2"/>
  <c r="H31" i="2"/>
  <c r="H30" i="2"/>
  <c r="G31" i="2"/>
  <c r="G30" i="2"/>
  <c r="N31" i="2"/>
  <c r="N30" i="2"/>
  <c r="I31" i="2"/>
  <c r="I30" i="2"/>
  <c r="H120" i="26"/>
  <c r="G21" i="2"/>
  <c r="E17" i="14"/>
  <c r="F98" i="24"/>
  <c r="F96" i="24"/>
  <c r="F97" i="24"/>
  <c r="D96" i="24"/>
  <c r="D97" i="24"/>
  <c r="D98" i="24"/>
  <c r="E97" i="24"/>
  <c r="E98" i="24"/>
  <c r="E96" i="24"/>
  <c r="D29" i="24"/>
  <c r="C29" i="24"/>
  <c r="E29" i="24"/>
  <c r="E27" i="24"/>
  <c r="D27" i="24"/>
  <c r="C27" i="24"/>
  <c r="C28" i="24" s="1"/>
  <c r="C31" i="24"/>
  <c r="E31" i="24"/>
  <c r="D31" i="24"/>
  <c r="D6" i="15"/>
  <c r="E6" i="15"/>
  <c r="F13" i="2"/>
  <c r="H21" i="2"/>
  <c r="N21" i="2"/>
  <c r="L21" i="2"/>
  <c r="O22" i="21" s="1"/>
  <c r="O23" i="21" s="1"/>
  <c r="F6" i="15"/>
  <c r="H13" i="15"/>
  <c r="I24" i="2"/>
  <c r="F13" i="15"/>
  <c r="H6" i="15"/>
  <c r="I21" i="2"/>
  <c r="H24" i="2"/>
  <c r="L24" i="2"/>
  <c r="G24" i="2"/>
  <c r="F22" i="2"/>
  <c r="G13" i="15"/>
  <c r="J10" i="15"/>
  <c r="N24" i="2"/>
  <c r="G6" i="15"/>
  <c r="K21" i="2"/>
  <c r="K24" i="2"/>
  <c r="D99" i="24" l="1"/>
  <c r="U17" i="17"/>
  <c r="U36" i="17" s="1"/>
  <c r="F121" i="24"/>
  <c r="F122" i="24" s="1"/>
  <c r="J32" i="2"/>
  <c r="G155" i="24" s="1"/>
  <c r="G18" i="14"/>
  <c r="F101" i="24" s="1"/>
  <c r="D12" i="30"/>
  <c r="K84" i="15"/>
  <c r="I83" i="15"/>
  <c r="E21" i="14"/>
  <c r="T17" i="17" s="1"/>
  <c r="I85" i="15"/>
  <c r="K86" i="15"/>
  <c r="D97" i="15" s="1"/>
  <c r="F19" i="2"/>
  <c r="F21" i="2" s="1"/>
  <c r="F44" i="21" s="1"/>
  <c r="I17" i="17"/>
  <c r="I36" i="17" s="1"/>
  <c r="I13" i="15"/>
  <c r="K13" i="15"/>
  <c r="J13" i="15"/>
  <c r="I6" i="15"/>
  <c r="H20" i="24"/>
  <c r="D145" i="24"/>
  <c r="E96" i="15"/>
  <c r="F96" i="15"/>
  <c r="D96" i="15"/>
  <c r="D61" i="24"/>
  <c r="D103" i="15"/>
  <c r="E103" i="15" s="1"/>
  <c r="K38" i="15"/>
  <c r="D16" i="15"/>
  <c r="E60" i="24"/>
  <c r="E30" i="24"/>
  <c r="E16" i="15"/>
  <c r="C30" i="24"/>
  <c r="J36" i="17"/>
  <c r="K36" i="17"/>
  <c r="V36" i="17"/>
  <c r="E101" i="24"/>
  <c r="F23" i="14"/>
  <c r="E18" i="14"/>
  <c r="C12" i="30"/>
  <c r="D9" i="28"/>
  <c r="C9" i="28"/>
  <c r="E9" i="28"/>
  <c r="E121" i="24"/>
  <c r="AD109" i="24"/>
  <c r="G32" i="2"/>
  <c r="C114" i="24"/>
  <c r="H27" i="2"/>
  <c r="L34" i="21"/>
  <c r="L44" i="21"/>
  <c r="H26" i="2"/>
  <c r="H28" i="2"/>
  <c r="N27" i="2"/>
  <c r="N28" i="2"/>
  <c r="N26" i="2"/>
  <c r="H29" i="2"/>
  <c r="N29" i="2"/>
  <c r="H16" i="15"/>
  <c r="K6" i="15"/>
  <c r="L22" i="21"/>
  <c r="L23" i="21" s="1"/>
  <c r="L24" i="21" s="1"/>
  <c r="F16" i="15"/>
  <c r="J6" i="15"/>
  <c r="G16" i="15"/>
  <c r="K28" i="2"/>
  <c r="K27" i="2"/>
  <c r="K29" i="2"/>
  <c r="K26" i="2"/>
  <c r="G23" i="14" l="1"/>
  <c r="E97" i="15"/>
  <c r="AD111" i="24"/>
  <c r="I47" i="21"/>
  <c r="I46" i="21"/>
  <c r="AD110" i="24"/>
  <c r="I37" i="21"/>
  <c r="J13" i="21"/>
  <c r="F97" i="15"/>
  <c r="D104" i="15"/>
  <c r="E104" i="15" s="1"/>
  <c r="E61" i="24"/>
  <c r="F24" i="2"/>
  <c r="F31" i="2"/>
  <c r="B87" i="15"/>
  <c r="F30" i="2"/>
  <c r="T36" i="17"/>
  <c r="T37" i="17" s="1"/>
  <c r="N46" i="17" s="1"/>
  <c r="AB29" i="21"/>
  <c r="K16" i="15"/>
  <c r="C12" i="28"/>
  <c r="C13" i="28" s="1"/>
  <c r="J16" i="15"/>
  <c r="I16" i="15"/>
  <c r="A121" i="24"/>
  <c r="E12" i="28"/>
  <c r="E14" i="28" s="1"/>
  <c r="D12" i="28"/>
  <c r="D13" i="28" s="1"/>
  <c r="D58" i="14"/>
  <c r="E59" i="24"/>
  <c r="G154" i="24"/>
  <c r="E36" i="24"/>
  <c r="C35" i="24"/>
  <c r="D36" i="24"/>
  <c r="D34" i="24"/>
  <c r="D35" i="24"/>
  <c r="C36" i="24"/>
  <c r="C34" i="24"/>
  <c r="I37" i="17"/>
  <c r="I97" i="17"/>
  <c r="V37" i="17"/>
  <c r="K37" i="17"/>
  <c r="U37" i="17"/>
  <c r="J37" i="17"/>
  <c r="E23" i="14"/>
  <c r="D101" i="24"/>
  <c r="AC109" i="24"/>
  <c r="E122" i="24"/>
  <c r="F22" i="21"/>
  <c r="D13" i="21"/>
  <c r="F37" i="21"/>
  <c r="H37" i="21"/>
  <c r="F47" i="21"/>
  <c r="H47" i="21"/>
  <c r="E35" i="24"/>
  <c r="J11" i="21"/>
  <c r="E34" i="24"/>
  <c r="D11" i="21"/>
  <c r="D9" i="21"/>
  <c r="F34" i="21"/>
  <c r="I36" i="21" s="1"/>
  <c r="D6" i="21"/>
  <c r="J6" i="21"/>
  <c r="J9" i="21"/>
  <c r="D59" i="14" l="1"/>
  <c r="N45" i="17"/>
  <c r="P37" i="17"/>
  <c r="D41" i="17"/>
  <c r="AE9" i="30"/>
  <c r="L25" i="21"/>
  <c r="T97" i="17"/>
  <c r="AC64" i="21"/>
  <c r="C14" i="28"/>
  <c r="D14" i="28"/>
  <c r="E13" i="28"/>
  <c r="AD29" i="21"/>
  <c r="I38" i="17"/>
  <c r="I69" i="17" s="1"/>
  <c r="J38" i="17"/>
  <c r="U38" i="17"/>
  <c r="K38" i="17"/>
  <c r="V38" i="17"/>
  <c r="AB45" i="21"/>
  <c r="AB35" i="21"/>
  <c r="AA15" i="28"/>
  <c r="AA15" i="30"/>
  <c r="AA16" i="30" s="1"/>
  <c r="AA111" i="24"/>
  <c r="F88" i="21"/>
  <c r="AC111" i="24"/>
  <c r="F46" i="21"/>
  <c r="H46" i="21"/>
  <c r="AC110" i="24"/>
  <c r="F36" i="21"/>
  <c r="H36" i="21"/>
  <c r="L36" i="21"/>
  <c r="AC65" i="21"/>
  <c r="AC66" i="21"/>
  <c r="AD63" i="21" s="1"/>
  <c r="J52" i="21" s="1"/>
  <c r="M55" i="21" s="1"/>
  <c r="E63" i="18"/>
  <c r="D62" i="18"/>
  <c r="E62" i="18"/>
  <c r="D64" i="18"/>
  <c r="D63" i="18"/>
  <c r="D7" i="21"/>
  <c r="B21" i="21"/>
  <c r="B38" i="21"/>
  <c r="B26" i="21"/>
  <c r="T38" i="17" l="1"/>
  <c r="T69" i="17" s="1"/>
  <c r="N70" i="17" s="1"/>
  <c r="I91" i="17"/>
  <c r="AA112" i="24"/>
  <c r="AA16" i="28"/>
  <c r="I99" i="17"/>
  <c r="BC104" i="17"/>
  <c r="V91" i="17"/>
  <c r="AR104" i="17"/>
  <c r="K91" i="17"/>
  <c r="BC94" i="17"/>
  <c r="U91" i="17"/>
  <c r="J91" i="17"/>
  <c r="AR94" i="17"/>
  <c r="F89" i="21"/>
  <c r="AD45" i="21"/>
  <c r="AB46" i="21" s="1"/>
  <c r="AD35" i="21"/>
  <c r="K30" i="30"/>
  <c r="K31" i="30" s="1"/>
  <c r="J30" i="30"/>
  <c r="J31" i="30" s="1"/>
  <c r="AA62" i="18"/>
  <c r="T91" i="17" l="1"/>
  <c r="N92" i="17" s="1"/>
  <c r="I11" i="28"/>
  <c r="I29" i="28" s="1"/>
  <c r="I95" i="21"/>
  <c r="AE63" i="18"/>
  <c r="K11" i="28"/>
  <c r="H95" i="21"/>
  <c r="L46" i="21"/>
  <c r="F95" i="21"/>
  <c r="F93" i="21"/>
  <c r="T99" i="17"/>
  <c r="C86" i="17"/>
  <c r="C82" i="17"/>
  <c r="K81" i="17"/>
  <c r="C84" i="17"/>
  <c r="C83" i="17"/>
  <c r="C87" i="17"/>
  <c r="C85" i="17"/>
  <c r="C75" i="17"/>
  <c r="C80" i="17"/>
  <c r="C77" i="17"/>
  <c r="C74" i="17"/>
  <c r="C79" i="17"/>
  <c r="C76" i="17"/>
  <c r="J73" i="17"/>
  <c r="C78" i="17"/>
  <c r="N76" i="17"/>
  <c r="N75" i="17"/>
  <c r="N80" i="17"/>
  <c r="N79" i="17"/>
  <c r="N77" i="17"/>
  <c r="N78" i="17"/>
  <c r="U73" i="17"/>
  <c r="N74" i="17"/>
  <c r="N82" i="17"/>
  <c r="N84" i="17"/>
  <c r="N87" i="17"/>
  <c r="N85" i="17"/>
  <c r="N86" i="17"/>
  <c r="N83" i="17"/>
  <c r="V81" i="17"/>
  <c r="L89" i="21"/>
  <c r="I96" i="21" s="1"/>
  <c r="AB36" i="21"/>
  <c r="J62" i="21"/>
  <c r="AE62" i="18"/>
  <c r="AB62" i="18"/>
  <c r="AB63" i="18"/>
  <c r="AE64" i="18"/>
  <c r="I12" i="28" l="1"/>
  <c r="I14" i="28" s="1"/>
  <c r="M73" i="21"/>
  <c r="AG9" i="30"/>
  <c r="C9" i="30" s="1"/>
  <c r="J63" i="21"/>
  <c r="H96" i="21"/>
  <c r="AC113" i="24"/>
  <c r="I30" i="28"/>
  <c r="AC114" i="24"/>
  <c r="M102" i="21"/>
  <c r="AC112" i="24"/>
  <c r="J109" i="21"/>
  <c r="AG11" i="30" s="1"/>
  <c r="AC115" i="24"/>
  <c r="L93" i="21"/>
  <c r="F96" i="21"/>
  <c r="J11" i="28"/>
  <c r="AD46" i="21"/>
  <c r="AB47" i="21"/>
  <c r="AD36" i="21"/>
  <c r="K12" i="28"/>
  <c r="K29" i="28"/>
  <c r="I17" i="28" l="1"/>
  <c r="J110" i="21"/>
  <c r="J115" i="21" s="1"/>
  <c r="I13" i="28"/>
  <c r="I18" i="28" s="1"/>
  <c r="AD115" i="24"/>
  <c r="AD113" i="24"/>
  <c r="AD114" i="24"/>
  <c r="AD112" i="24"/>
  <c r="J68" i="21"/>
  <c r="J67" i="21"/>
  <c r="J69" i="21" s="1"/>
  <c r="K69" i="21" s="1"/>
  <c r="AO39" i="17"/>
  <c r="AQ39" i="17" s="1"/>
  <c r="AR39" i="17" s="1"/>
  <c r="C16" i="30"/>
  <c r="C17" i="30" s="1"/>
  <c r="L96" i="21"/>
  <c r="D27" i="30"/>
  <c r="AB88" i="21"/>
  <c r="AD88" i="21" s="1"/>
  <c r="E16" i="30"/>
  <c r="C27" i="30"/>
  <c r="C43" i="30" s="1"/>
  <c r="C44" i="30" s="1"/>
  <c r="I19" i="28"/>
  <c r="K17" i="28"/>
  <c r="K30" i="28"/>
  <c r="K36" i="28" s="1"/>
  <c r="M112" i="21"/>
  <c r="AC116" i="24"/>
  <c r="I40" i="28"/>
  <c r="I31" i="28"/>
  <c r="I36" i="28"/>
  <c r="I32" i="28"/>
  <c r="M119" i="21"/>
  <c r="J12" i="28"/>
  <c r="J29" i="28"/>
  <c r="AD47" i="21"/>
  <c r="L37" i="21"/>
  <c r="K14" i="28"/>
  <c r="K13" i="28"/>
  <c r="AY39" i="17" l="1"/>
  <c r="BA39" i="17" s="1"/>
  <c r="BB39" i="17" s="1"/>
  <c r="BD39" i="17" s="1"/>
  <c r="J114" i="21"/>
  <c r="J116" i="21" s="1"/>
  <c r="J117" i="21" s="1"/>
  <c r="K117" i="21" s="1"/>
  <c r="AT39" i="17"/>
  <c r="K18" i="30"/>
  <c r="K19" i="30" s="1"/>
  <c r="E17" i="30"/>
  <c r="J70" i="21"/>
  <c r="K70" i="21" s="1"/>
  <c r="I18" i="30"/>
  <c r="I19" i="30" s="1"/>
  <c r="I41" i="30"/>
  <c r="I36" i="30"/>
  <c r="I37" i="30" s="1"/>
  <c r="D16" i="30"/>
  <c r="K31" i="28"/>
  <c r="AB89" i="21"/>
  <c r="AD89" i="21" s="1"/>
  <c r="K40" i="28"/>
  <c r="K32" i="28"/>
  <c r="E27" i="30"/>
  <c r="E43" i="30" s="1"/>
  <c r="E44" i="30" s="1"/>
  <c r="K18" i="28"/>
  <c r="K41" i="28"/>
  <c r="J30" i="28"/>
  <c r="J31" i="28" s="1"/>
  <c r="I41" i="28"/>
  <c r="I38" i="28"/>
  <c r="I37" i="28"/>
  <c r="K19" i="28"/>
  <c r="AD116" i="24"/>
  <c r="AR41" i="17"/>
  <c r="D43" i="30"/>
  <c r="D44" i="30" s="1"/>
  <c r="AC117" i="24"/>
  <c r="L95" i="21"/>
  <c r="J17" i="28"/>
  <c r="J13" i="28"/>
  <c r="J14" i="28"/>
  <c r="L47" i="21"/>
  <c r="K37" i="28"/>
  <c r="K38" i="28"/>
  <c r="K116" i="21" l="1"/>
  <c r="D40" i="17"/>
  <c r="AT41" i="17"/>
  <c r="J18" i="30"/>
  <c r="J19" i="30" s="1"/>
  <c r="D17" i="30"/>
  <c r="BB41" i="17"/>
  <c r="BD41" i="17" s="1"/>
  <c r="J40" i="28"/>
  <c r="J36" i="28"/>
  <c r="J37" i="28" s="1"/>
  <c r="I42" i="30"/>
  <c r="J32" i="28"/>
  <c r="J36" i="30"/>
  <c r="J37" i="30" s="1"/>
  <c r="K36" i="30"/>
  <c r="K37" i="30" s="1"/>
  <c r="J41" i="30"/>
  <c r="K41" i="30"/>
  <c r="J19" i="28"/>
  <c r="J18" i="28"/>
  <c r="C111" i="24"/>
  <c r="C54" i="23"/>
  <c r="C112" i="24"/>
  <c r="C113" i="24"/>
  <c r="AD117" i="24"/>
  <c r="D112" i="24" s="1"/>
  <c r="L97" i="21"/>
  <c r="O40" i="17" l="1"/>
  <c r="J41" i="28"/>
  <c r="J38" i="28"/>
  <c r="J42" i="30"/>
  <c r="K42" i="30"/>
  <c r="D54" i="23"/>
  <c r="D113" i="24"/>
  <c r="D111" i="24"/>
  <c r="C56" i="23"/>
  <c r="E54" i="23"/>
  <c r="C57" i="23"/>
  <c r="E57" i="23" l="1"/>
  <c r="E56" i="23"/>
  <c r="D56" i="23"/>
  <c r="D57" i="23"/>
  <c r="C58" i="23"/>
  <c r="D58" i="23" l="1"/>
  <c r="C59" i="23"/>
  <c r="E58" i="23"/>
  <c r="E59" i="23" l="1"/>
  <c r="D60" i="23"/>
</calcChain>
</file>

<file path=xl/sharedStrings.xml><?xml version="1.0" encoding="utf-8"?>
<sst xmlns="http://schemas.openxmlformats.org/spreadsheetml/2006/main" count="7446" uniqueCount="2474">
  <si>
    <t>Coeff calcul UGB taurillons de race à viande</t>
  </si>
  <si>
    <t>Coeff calcul UGB taurillons de race laitière</t>
  </si>
  <si>
    <t>Coeff calcul UGB génisses année 2</t>
  </si>
  <si>
    <t>Coeff calcul UGB génisses année 3 (25-30 mois)</t>
  </si>
  <si>
    <t>Coeff calcul UGB génisses année 3 (25-33 mois)</t>
  </si>
  <si>
    <t>Coeff calcul UGB génisses année 3 (25-36 mois)</t>
  </si>
  <si>
    <t>Coeff calcul UGB vaches de réforme type viande</t>
  </si>
  <si>
    <t>Coeff calcul UGB vaches de réforme type lait</t>
  </si>
  <si>
    <t>Coefficients effet direct fertilisation prairies</t>
  </si>
  <si>
    <t>Besoins des prairies</t>
  </si>
  <si>
    <t>en graminées pures</t>
  </si>
  <si>
    <t>en association</t>
  </si>
  <si>
    <t>Besoins prairies graminées pures</t>
  </si>
  <si>
    <t>Besoins prairies en association</t>
  </si>
  <si>
    <t>Fertilisation antérieure</t>
  </si>
  <si>
    <t>Age de la prairie</t>
  </si>
  <si>
    <t>GénissesLaitières</t>
  </si>
  <si>
    <t>année 1</t>
  </si>
  <si>
    <t>Tableau 1A - Quantités d'Azote, P2O5 et K2O organique produits par une VL (6000 litres)         en fonction de la conduite alimentaire, exprimées en kg par mois, épandables et au pâturage</t>
  </si>
  <si>
    <t>Tableau 1A - Quantités en kg par mois produites par une VL à 6000 litres</t>
  </si>
  <si>
    <t>Correction par animal vendu à 8-9 mois (quantité à retrancher par animal vendu)</t>
  </si>
  <si>
    <t>Tableau 5A - Références CORPEN</t>
  </si>
  <si>
    <t>PressionPrairies</t>
  </si>
  <si>
    <t>FertiCultures</t>
  </si>
  <si>
    <t>Prévision des besoins des cultures</t>
  </si>
  <si>
    <t>Paramètre variable selon le mode d'expression des objectifs de rendement:</t>
  </si>
  <si>
    <t xml:space="preserve">    Q si exprimé en quintal par ha,</t>
  </si>
  <si>
    <t xml:space="preserve">    TS si exprimé en tonnes mat sèche par ha</t>
  </si>
  <si>
    <t xml:space="preserve">    TF si exprimé en tonnes mat fraîche par ha</t>
  </si>
  <si>
    <t>Arrière-effets des apports d'azote organique antérieurs (kg par ha)</t>
  </si>
  <si>
    <t xml:space="preserve">Effluents épandus </t>
  </si>
  <si>
    <t xml:space="preserve">Dose épandue par an </t>
  </si>
  <si>
    <t xml:space="preserve">Fréquence d'épandage </t>
  </si>
  <si>
    <t xml:space="preserve">Kg N / ha </t>
  </si>
  <si>
    <t xml:space="preserve">Age de la prairie retournée </t>
  </si>
  <si>
    <t>Correction de la minéralisation</t>
  </si>
  <si>
    <t>teneurs standards (Kg/Tonne)</t>
  </si>
  <si>
    <t>teneurs standards (Kg/m3)</t>
  </si>
  <si>
    <t>Minéralisation de la matière organique du sol</t>
  </si>
  <si>
    <t>Tab. 4A - Références CORPEN</t>
  </si>
  <si>
    <r>
      <t>Azote (kg/animal/</t>
    </r>
    <r>
      <rPr>
        <b/>
        <sz val="10"/>
        <color indexed="10"/>
        <rFont val="Arial"/>
        <family val="2"/>
      </rPr>
      <t>mois</t>
    </r>
    <r>
      <rPr>
        <sz val="10"/>
        <rFont val="Arial"/>
        <family val="2"/>
      </rPr>
      <t>)</t>
    </r>
  </si>
  <si>
    <r>
      <t>P2O5 (kg/animal/</t>
    </r>
    <r>
      <rPr>
        <b/>
        <sz val="10"/>
        <color indexed="10"/>
        <rFont val="Arial"/>
        <family val="2"/>
      </rPr>
      <t>mois</t>
    </r>
    <r>
      <rPr>
        <sz val="10"/>
        <rFont val="Arial"/>
        <family val="2"/>
      </rPr>
      <t>)</t>
    </r>
  </si>
  <si>
    <r>
      <t>K2O (kg/animal/</t>
    </r>
    <r>
      <rPr>
        <b/>
        <sz val="10"/>
        <color indexed="10"/>
        <rFont val="Arial"/>
        <family val="2"/>
      </rPr>
      <t>mois</t>
    </r>
    <r>
      <rPr>
        <sz val="10"/>
        <rFont val="Arial"/>
        <family val="2"/>
      </rPr>
      <t>)</t>
    </r>
  </si>
  <si>
    <t>Coefficient: SA_CultEpand = f (SA_CA)</t>
  </si>
  <si>
    <t>Coefficient: SA_PraiEpand = f (SA_SFP_Herbe)</t>
  </si>
  <si>
    <t xml:space="preserve"> = quantité à rajouter par litre en excédent de 6 000 (ou à retrancher par litre en dessous de 6 000)</t>
  </si>
  <si>
    <t>Tableau 3A - Références CORPEN "Azote, Phosphore et Potasse" adaptées aux génisses laitières en fonction de leur alimentation et de leur âge au vélage</t>
  </si>
  <si>
    <t>Quantités d'azote, phosphore et potasse pour l'exploitation étudiée (total annuel pour les génisses laitières, en kg par an)</t>
  </si>
  <si>
    <t>Quantités d'azote, phosphore et potasse pour l'exploitation étudiée (par génisse laitière et par an)</t>
  </si>
  <si>
    <t>Quantités d'azote, phosphore et potasse pour l'exploitation étudiée (total annuel des VL, en kg par an)</t>
  </si>
  <si>
    <t>Prairies: pâturage et ensilages</t>
  </si>
  <si>
    <t>● longue durée + temporaire</t>
  </si>
  <si>
    <t>● d'association avec trèfle blanc</t>
  </si>
  <si>
    <t>● ensilage de céréales + légumineuses</t>
  </si>
  <si>
    <t>● pois</t>
  </si>
  <si>
    <t>● lupins</t>
  </si>
  <si>
    <t>● féveroles</t>
  </si>
  <si>
    <t>● soja</t>
  </si>
  <si>
    <t>● trèfle violet</t>
  </si>
  <si>
    <t>● avoine</t>
  </si>
  <si>
    <t>● sorgho grain</t>
  </si>
  <si>
    <t>Céréales fourragères autoconsommées</t>
  </si>
  <si>
    <t>Besoins annuels totaux des animaux</t>
  </si>
  <si>
    <t>Fourrages</t>
  </si>
  <si>
    <t>grossiers</t>
  </si>
  <si>
    <t>&lt;-- Format des vaches allaitantes 1=léger  2=moyen  3=lourd</t>
  </si>
  <si>
    <t>Génisses an 1</t>
  </si>
  <si>
    <t>Génisses an 2</t>
  </si>
  <si>
    <t>Génisses an 3</t>
  </si>
  <si>
    <t>Retenus</t>
  </si>
  <si>
    <t>mâles an 1</t>
  </si>
  <si>
    <t>mâles an 2</t>
  </si>
  <si>
    <t>mâles an 3</t>
  </si>
  <si>
    <t>25-28 mois</t>
  </si>
  <si>
    <t>25-30 mois</t>
  </si>
  <si>
    <t>25-33 mois</t>
  </si>
  <si>
    <t>25-36 mois</t>
  </si>
  <si>
    <t>Besoins par mois</t>
  </si>
  <si>
    <t>Réforme type viande</t>
  </si>
  <si>
    <t>Réforme type lait</t>
  </si>
  <si>
    <t>Prairies et fourrages grossiers</t>
  </si>
  <si>
    <t>kg MS</t>
  </si>
  <si>
    <t>T MS</t>
  </si>
  <si>
    <t xml:space="preserve"> kg MS</t>
  </si>
  <si>
    <t>soit</t>
  </si>
  <si>
    <t>Besoins des génisses du troupeau laitier: année 1</t>
  </si>
  <si>
    <t>Besoins des génisses du troupeau laitier: année 2</t>
  </si>
  <si>
    <t>Besoins des génisses du troupeau laitier: année 3</t>
  </si>
  <si>
    <t>Besoins des vaches allaitantes</t>
  </si>
  <si>
    <t>Besoins des génisses du troupeau allaitant: année 1</t>
  </si>
  <si>
    <t>Besoins des génisses du troupeau allaitant: année 2</t>
  </si>
  <si>
    <t>Besoins des génisses du troupeau allaitant: année 3</t>
  </si>
  <si>
    <t>Besoins des mâles en engraissement: année 1</t>
  </si>
  <si>
    <t>Besoins des mâles en engraissement: année 2</t>
  </si>
  <si>
    <t>Besoins des mâles en engraissement: année 3</t>
  </si>
  <si>
    <t>mâles an 3: 25-28 mois</t>
  </si>
  <si>
    <t>mâles an 3: 25-30 mois</t>
  </si>
  <si>
    <t>mâles an 3: 25-33 mois</t>
  </si>
  <si>
    <t>mâles an 3: 25-36 mois</t>
  </si>
  <si>
    <t>Besoins des génisses en engraissement: année 2</t>
  </si>
  <si>
    <t>Besoins des génisses en engraissement: année 3</t>
  </si>
  <si>
    <t>Besoins des vaches de réforme</t>
  </si>
  <si>
    <t>Type viande</t>
  </si>
  <si>
    <t>Type lait</t>
  </si>
  <si>
    <t>Quantités d'azote, phosphore et potasse pour l'exploitation étudiée (par VL et par an)</t>
  </si>
  <si>
    <t>%</t>
  </si>
  <si>
    <t>litres par lactation brute</t>
  </si>
  <si>
    <t>Conduite du chargement au pâturage</t>
  </si>
  <si>
    <t>● Période 2 (début été)</t>
  </si>
  <si>
    <t>Ensilage d'herbe en hiver ?</t>
  </si>
  <si>
    <t>Fumiers de poulets standard</t>
  </si>
  <si>
    <t>Fumiers de poulets label</t>
  </si>
  <si>
    <t>Veaux de boucherie (par animal)</t>
  </si>
  <si>
    <t>Répartition des quantités d'azote, de phosphore et de potasse pour 6000 litres (par VL et par an)</t>
  </si>
  <si>
    <t>Tableau 4A - Références CORPEN pour les vaches et les génisses du troupeau allaitant, exprimées en Azote, Phosphore et Potasse épandable et épandus directement à l'herbe</t>
  </si>
  <si>
    <t>Quantités d'azote, phosphore et potasse pour l'exploitation étudiée (total annuel pour le troupeau allaitant, en kg par an)</t>
  </si>
  <si>
    <t>Quantités d'azote, phosphore et potasse pour l'exploitation étudiée (par animal du troupeau allaitant et par an)</t>
  </si>
  <si>
    <t>Quantités d'azote, phosphore et potasse pour l'exploitation étudiée (total annuel pour l'engraissement, en kg par an)</t>
  </si>
  <si>
    <t>Tableau 5A - Références CORPEN pour les animaux à l'engraissement, exprimées en Azote, Phosphore et Potasse épandable et épandus directement à l'herbe</t>
  </si>
  <si>
    <t>Quantités d'azote, phosphore et potasse pour l'exploitation étudiée (kg par animal en engraissement et par an)</t>
  </si>
  <si>
    <t>Quantités d'azote, phosphore et potasse pour l'exploitation étudiée (total annuel pour l'atelier porcs, en kg par an)</t>
  </si>
  <si>
    <t>Quantités d'azote, phosphore et potasse pour l'exploitation étudiée (total annuel pour l'atelier volailles, en kg par an)</t>
  </si>
  <si>
    <t>Quantités d'azote, phosphore et potasse pour l'exploitation étudiée (total annuel pour l'atelier lapins, en kg par an)</t>
  </si>
  <si>
    <t>Allaitant</t>
  </si>
  <si>
    <t>Tableau 3A - Références CORPEN</t>
  </si>
  <si>
    <t>Sol/végétation période estivale</t>
  </si>
  <si>
    <t>Fourniture de N par le sol</t>
  </si>
  <si>
    <t>Peu profond</t>
  </si>
  <si>
    <t>40-60 cm</t>
  </si>
  <si>
    <t>Profond</t>
  </si>
  <si>
    <t>Bonne pousse</t>
  </si>
  <si>
    <t>Pousse moyenne</t>
  </si>
  <si>
    <t>Pousse faible</t>
  </si>
  <si>
    <t>Sol -----------------------------------------------------------------&gt;</t>
  </si>
  <si>
    <t>Végétation période estivale -------------------------------&gt;</t>
  </si>
  <si>
    <t>Age de la prairie ----------------------------------------------&gt;</t>
  </si>
  <si>
    <t>Saisie</t>
  </si>
  <si>
    <t>Fixation de N des trèfles des associations</t>
  </si>
  <si>
    <t>Production des prairies</t>
  </si>
  <si>
    <t>Taux de trèfle</t>
  </si>
  <si>
    <t>Production des prairies -------------------------------------&gt;</t>
  </si>
  <si>
    <t>Coefficients d'utilisation des nutriments</t>
  </si>
  <si>
    <t>Fumierbovins</t>
  </si>
  <si>
    <t>Fumierporcins: paille</t>
  </si>
  <si>
    <t>Fumierporcins: sciure/copeaux</t>
  </si>
  <si>
    <t>Compostbovins</t>
  </si>
  <si>
    <t>Compostporcins: paille</t>
  </si>
  <si>
    <t>Compostporcins: sciure/copeaux</t>
  </si>
  <si>
    <t>Lisierbovins</t>
  </si>
  <si>
    <t>Lisiermixtes de porc</t>
  </si>
  <si>
    <t>Lisierporc engrais</t>
  </si>
  <si>
    <t>Teneurs standards des effluents</t>
  </si>
  <si>
    <t>Coefficients d'efficacité pour les effluents</t>
  </si>
  <si>
    <t>Corrections pour le niveau de production laitière</t>
  </si>
  <si>
    <t>VLCalendrier</t>
  </si>
  <si>
    <t>Mêmes paramètres que pour la feuille</t>
  </si>
  <si>
    <t>ha</t>
  </si>
  <si>
    <t>Condition sur herbe % SFP</t>
  </si>
  <si>
    <t xml:space="preserve">SAU totale  </t>
  </si>
  <si>
    <t xml:space="preserve">    - céréales</t>
  </si>
  <si>
    <t>● grains autoconsommés</t>
  </si>
  <si>
    <t>Cultures annuelles</t>
  </si>
  <si>
    <t>ha SFPc</t>
  </si>
  <si>
    <t>Herbe</t>
  </si>
  <si>
    <t>Nombre de jours</t>
  </si>
  <si>
    <t>Correction par animal acheté</t>
  </si>
  <si>
    <t>Effectifs mâles vendus à 8-9 mois</t>
  </si>
  <si>
    <t>Effectifs mâles achetés à 8-9 mois</t>
  </si>
  <si>
    <t>Effectifs femelles vendus à 8-9 mois</t>
  </si>
  <si>
    <t>Effectifs femelles achetés à 8-9 mois</t>
  </si>
  <si>
    <t>Que représente la complémentation au pâturage en % de la ration totale ?</t>
  </si>
  <si>
    <t>Type de vélage</t>
  </si>
  <si>
    <t>Année 1</t>
  </si>
  <si>
    <t>Année 2</t>
  </si>
  <si>
    <t>Année 3</t>
  </si>
  <si>
    <t>mois</t>
  </si>
  <si>
    <t>Mois à l'herbe</t>
  </si>
  <si>
    <t>Régime d'hiver</t>
  </si>
  <si>
    <t>Pouvez vous renseigner les cases vertes ci-dessous ?</t>
  </si>
  <si>
    <t>● vaches en production</t>
  </si>
  <si>
    <t>● génisses (13-24 mois; année 2)</t>
  </si>
  <si>
    <t>Régime</t>
  </si>
  <si>
    <t>Ensilage herbe</t>
  </si>
  <si>
    <t>Maïs</t>
  </si>
  <si>
    <t>Période de stabulation</t>
  </si>
  <si>
    <t>-</t>
  </si>
  <si>
    <t>Azote</t>
  </si>
  <si>
    <t>P2O5</t>
  </si>
  <si>
    <t>Période de pâturage</t>
  </si>
  <si>
    <t>Complément</t>
  </si>
  <si>
    <t>Rejets directs</t>
  </si>
  <si>
    <t>Ens. H 50%</t>
  </si>
  <si>
    <t>Ens. H 75%</t>
  </si>
  <si>
    <t>Ens M 50%</t>
  </si>
  <si>
    <t>Ens M 75%</t>
  </si>
  <si>
    <t>VOLAILLES (nombre produit ou entretenu par an)</t>
  </si>
  <si>
    <t>LAPINS (nombre produit ou entretenu par an)</t>
  </si>
  <si>
    <t>Veaux produits par an</t>
  </si>
  <si>
    <t>Quantités d'azote, phosphore et potasse pour l'exploitation étudiée (total annuel pour l'atelier veaux, en kg par an)</t>
  </si>
  <si>
    <t>Veaux de boucherie</t>
  </si>
  <si>
    <t>Total Bovins</t>
  </si>
  <si>
    <t>Total Exploitation</t>
  </si>
  <si>
    <t xml:space="preserve">    - pois, lupins, féveroles</t>
  </si>
  <si>
    <t>Alimentation</t>
  </si>
  <si>
    <t>classique</t>
  </si>
  <si>
    <t>biphase</t>
  </si>
  <si>
    <t>Estimation du seuil critique de chargement au pâturage</t>
  </si>
  <si>
    <t xml:space="preserve">Seuil critique des vaches au pâturage </t>
  </si>
  <si>
    <t>● Vaches allaitantes (avec leurs veaux)</t>
  </si>
  <si>
    <t>- Surface pâturée par les vaches laitières seules (ha)</t>
  </si>
  <si>
    <t>- Surface pâturée par les vaches allaitantes (et leurs veaux) seules (ha)</t>
  </si>
  <si>
    <t>Pressions et restitutions NPK annuelles sur les prairies pâturées</t>
  </si>
  <si>
    <t>Dose brute</t>
  </si>
  <si>
    <t>● maïs grain</t>
  </si>
  <si>
    <t>● permanentes</t>
  </si>
  <si>
    <t>● orge</t>
  </si>
  <si>
    <t>Surfaces</t>
  </si>
  <si>
    <t>● luzerne</t>
  </si>
  <si>
    <t>T MS/ha</t>
  </si>
  <si>
    <t>UF</t>
  </si>
  <si>
    <t xml:space="preserve"> kg N</t>
  </si>
  <si>
    <t>kg P2O5</t>
  </si>
  <si>
    <t>Contenus par T MS</t>
  </si>
  <si>
    <t>Production fourragère annuelle totale</t>
  </si>
  <si>
    <t>Céréales fourragères</t>
  </si>
  <si>
    <r>
      <t>●</t>
    </r>
    <r>
      <rPr>
        <sz val="10"/>
        <rFont val="Arial"/>
        <family val="2"/>
      </rPr>
      <t xml:space="preserve"> betteraves fourragères</t>
    </r>
  </si>
  <si>
    <t>● colza fourrager</t>
  </si>
  <si>
    <t>● autres crucifères fourragères</t>
  </si>
  <si>
    <t>● betteraves fourragères</t>
  </si>
  <si>
    <t>Fourrages riches en azote</t>
  </si>
  <si>
    <t>Prairies et Fourrages grossiers</t>
  </si>
  <si>
    <t>Total général</t>
  </si>
  <si>
    <t>Pois de conserve</t>
  </si>
  <si>
    <t>Choux fleurs récolte automne</t>
  </si>
  <si>
    <t>Choux fleurs récolte fin hiver</t>
  </si>
  <si>
    <t>Niveau moyen de production</t>
  </si>
  <si>
    <t>litres par lactation</t>
  </si>
  <si>
    <t>● herbe 25% + ensilage herbe 75%</t>
  </si>
  <si>
    <t>● herbe 50% + ensilage maïs 50%</t>
  </si>
  <si>
    <t>● herbe 25% + ensilage maïs 75%</t>
  </si>
  <si>
    <t>● ens. herbe 75% + ens. maïs 25%</t>
  </si>
  <si>
    <t>● ens. herbe 25% + ens. maïs 75%</t>
  </si>
  <si>
    <t xml:space="preserve"> jours</t>
  </si>
  <si>
    <t>Répartition des temps (en mois)</t>
  </si>
  <si>
    <t>Total</t>
  </si>
  <si>
    <t>Total Azote</t>
  </si>
  <si>
    <t>maîtrisable</t>
  </si>
  <si>
    <t>Non</t>
  </si>
  <si>
    <t>sable</t>
  </si>
  <si>
    <t>Maîtri-</t>
  </si>
  <si>
    <t>Total P2O5</t>
  </si>
  <si>
    <t>P205</t>
  </si>
  <si>
    <t>Azote (kg/VL/an)</t>
  </si>
  <si>
    <t>P2O5 (kg/VL/an)</t>
  </si>
  <si>
    <t>=====&gt; Quantités à ajouter par VL et par an:</t>
  </si>
  <si>
    <t>Pâturage</t>
  </si>
  <si>
    <t>Azote (kg/animal/an)</t>
  </si>
  <si>
    <t>P2O5 (kg/animal/an)</t>
  </si>
  <si>
    <t>foin</t>
  </si>
  <si>
    <t>d'hiver</t>
  </si>
  <si>
    <t>Elevage avec vélage précoce: 24-30 mois</t>
  </si>
  <si>
    <t>croissance moyenne de 750 g/jour</t>
  </si>
  <si>
    <t>Elevage avec vélage tardif: 34-36 mois</t>
  </si>
  <si>
    <t>croissance moyenne de 600 g/jour</t>
  </si>
  <si>
    <t>Année</t>
  </si>
  <si>
    <t>● foin</t>
  </si>
  <si>
    <t>&lt;-- Jours connus: 1=OUI  2=NON</t>
  </si>
  <si>
    <t>● ens. herbe</t>
  </si>
  <si>
    <t>Régime sans pâturage</t>
  </si>
  <si>
    <t>● ens. maïs</t>
  </si>
  <si>
    <t>Age au vélage précoce</t>
  </si>
  <si>
    <t>&lt;-- Age au vélage précoce: 1= 24-27 mois  2=30 mois</t>
  </si>
  <si>
    <t>Nb mois/base</t>
  </si>
  <si>
    <t>0/foin</t>
  </si>
  <si>
    <t>0/ens.herbe</t>
  </si>
  <si>
    <t>0/ens.maïs+foin</t>
  </si>
  <si>
    <t>ens.herbe</t>
  </si>
  <si>
    <t>ens.maïs+foin</t>
  </si>
  <si>
    <t>par</t>
  </si>
  <si>
    <t>an</t>
  </si>
  <si>
    <t>Vélage</t>
  </si>
  <si>
    <t>24-27 mois</t>
  </si>
  <si>
    <t>sans herbe</t>
  </si>
  <si>
    <t>avec herbe</t>
  </si>
  <si>
    <t>30 mois</t>
  </si>
  <si>
    <t>Exploitation étudiée</t>
  </si>
  <si>
    <t>age au vélage</t>
  </si>
  <si>
    <t>Si vélage précoce</t>
  </si>
  <si>
    <t>par an</t>
  </si>
  <si>
    <t>Equations</t>
  </si>
  <si>
    <t>pente</t>
  </si>
  <si>
    <t>ordonnée origine</t>
  </si>
  <si>
    <t>Rappel effectifs de génisses laitières</t>
  </si>
  <si>
    <t>● vaches allaitantes</t>
  </si>
  <si>
    <t>&lt;-- Format des génisses d'élevage 1=léger  2=moyen  3=lourd</t>
  </si>
  <si>
    <t>* 25-28 mois</t>
  </si>
  <si>
    <t>* 25-30 mois</t>
  </si>
  <si>
    <t>* 25-33 mois</t>
  </si>
  <si>
    <t>* 25-36 mois</t>
  </si>
  <si>
    <t>&lt;-- Format des mâles à l'engraissement 1=léger  2=moyen  3=lourd</t>
  </si>
  <si>
    <t>T MS ou</t>
  </si>
  <si>
    <t>Qx /ha</t>
  </si>
  <si>
    <t>Production annuelle totale</t>
  </si>
  <si>
    <t>● Vaches de réforme</t>
  </si>
  <si>
    <t xml:space="preserve">   - type viande</t>
  </si>
  <si>
    <t xml:space="preserve">   - type lait</t>
  </si>
  <si>
    <t xml:space="preserve">   - mâles an 2 (hors taurillons)</t>
  </si>
  <si>
    <t>● Taurillons race à viande</t>
  </si>
  <si>
    <t>● Taurillons race laitière</t>
  </si>
  <si>
    <t>Besoins du troupeau bovin</t>
  </si>
  <si>
    <t>Mois eng</t>
  </si>
  <si>
    <t>litres</t>
  </si>
  <si>
    <t>Besoins annuels du troupeau bovin</t>
  </si>
  <si>
    <t>T MS ou Qx</t>
  </si>
  <si>
    <t>Qté Concentré (kg brut)</t>
  </si>
  <si>
    <t>Rappel</t>
  </si>
  <si>
    <t>des</t>
  </si>
  <si>
    <t>effectifs</t>
  </si>
  <si>
    <t>Veaux Boucherie</t>
  </si>
  <si>
    <t>&lt;-- Format des taurillons de race à viande 1=léger  2=moyen  3=lourd</t>
  </si>
  <si>
    <r>
      <t>●</t>
    </r>
    <r>
      <rPr>
        <sz val="10"/>
        <rFont val="Arial"/>
        <family val="2"/>
      </rPr>
      <t xml:space="preserve"> Génisses à l'engraissement</t>
    </r>
  </si>
  <si>
    <r>
      <t xml:space="preserve">   -</t>
    </r>
    <r>
      <rPr>
        <sz val="10"/>
        <rFont val="Arial"/>
        <family val="2"/>
      </rPr>
      <t xml:space="preserve"> génisses année 2</t>
    </r>
  </si>
  <si>
    <t>&lt;-- Format des génisses à l'engraissement 1=léger  2=moyen  3=lourd</t>
  </si>
  <si>
    <r>
      <t>●</t>
    </r>
    <r>
      <rPr>
        <sz val="10"/>
        <rFont val="Arial"/>
        <family val="2"/>
      </rPr>
      <t xml:space="preserve"> Vaches de réforme</t>
    </r>
  </si>
  <si>
    <r>
      <t xml:space="preserve">   -</t>
    </r>
    <r>
      <rPr>
        <sz val="10"/>
        <rFont val="Arial"/>
        <family val="2"/>
      </rPr>
      <t xml:space="preserve"> type viande</t>
    </r>
  </si>
  <si>
    <r>
      <t xml:space="preserve">   -</t>
    </r>
    <r>
      <rPr>
        <sz val="10"/>
        <rFont val="Arial"/>
        <family val="2"/>
      </rPr>
      <t xml:space="preserve"> type lait</t>
    </r>
  </si>
  <si>
    <t>&lt;-- Mois d'herbe des vaches allaitantes 1=5mois 2=6mois 3=7mois 4=8mois</t>
  </si>
  <si>
    <t>Nombres</t>
  </si>
  <si>
    <t>&lt;-- Type de vélage génisses laitières: 1=Précoce  2=Tardif</t>
  </si>
  <si>
    <t>&lt;-- Mois à l'herbe des génisses d'élevage Année 2   1=5mois 2=6mois 3=7mois 4=8mois</t>
  </si>
  <si>
    <t>&lt;-- Mois à l'herbe des génisses d'élevage vélage 36 mois    Année 3   1=5mois 2=6mois 3=7mois 4=8mois</t>
  </si>
  <si>
    <t>&lt;-- Régime des génisses d'élevage vélage 30-33 mois   1=foin   2=herbe</t>
  </si>
  <si>
    <t>● vaches allaitantes: mois à l'herbe</t>
  </si>
  <si>
    <r>
      <t>●</t>
    </r>
    <r>
      <rPr>
        <sz val="10"/>
        <rFont val="Arial"/>
        <family val="2"/>
      </rPr>
      <t xml:space="preserve"> génisses (année 2): mois à l'herbe</t>
    </r>
  </si>
  <si>
    <t>&lt;-- Ensilage d'herbe aux vaches allaitantes  1=OUI  2=NON</t>
  </si>
  <si>
    <t>&lt;-- Ensilage d'herbe aux génisses d'élevage Année 2  1=OUI  2=NON</t>
  </si>
  <si>
    <t>&lt;-- Type de vélage génisses allaitantes: 1=30-33mois  2=36mois</t>
  </si>
  <si>
    <t>&lt;-- Mâles à l'engraissement année 3  1=maïs   2=herbe</t>
  </si>
  <si>
    <t>&lt;-- Vaches de réforme type viande   1=ens.maïs  2=ens.herbe   3=pâturage</t>
  </si>
  <si>
    <t>Maîtrisable</t>
  </si>
  <si>
    <t>Rappel niveau moyen de production</t>
  </si>
  <si>
    <t>=&gt; Qtés à ajouter /VL /an:</t>
  </si>
  <si>
    <t>allaitante</t>
  </si>
  <si>
    <t>l'herbe</t>
  </si>
  <si>
    <t>Mois à</t>
  </si>
  <si>
    <t>Vache</t>
  </si>
  <si>
    <t>Format léger</t>
  </si>
  <si>
    <t>Format moyen</t>
  </si>
  <si>
    <t>Format lourd</t>
  </si>
  <si>
    <t>Maitrisable</t>
  </si>
  <si>
    <t>Non maitrisable</t>
  </si>
  <si>
    <t>Génisses</t>
  </si>
  <si>
    <t>d'élevage</t>
  </si>
  <si>
    <t>An-</t>
  </si>
  <si>
    <t>née</t>
  </si>
  <si>
    <t>Véla</t>
  </si>
  <si>
    <t>ge</t>
  </si>
  <si>
    <t>30-33</t>
  </si>
  <si>
    <t>herbe</t>
  </si>
  <si>
    <t>Calcul de la situation de l'exploitation (sans distribution d'ensilage d'herbe)</t>
  </si>
  <si>
    <t>Format --&gt;</t>
  </si>
  <si>
    <t>&gt;=6</t>
  </si>
  <si>
    <t>Nombre de mois à l'herbe Vaches allaitantes</t>
  </si>
  <si>
    <t>Nombre de mois à l'herbe Génisses Année 2</t>
  </si>
  <si>
    <t>Données pour calcul de ce qu'il faut rajouter si distribution d'ensilage d'herbe</t>
  </si>
  <si>
    <t>Tous formats</t>
  </si>
  <si>
    <t>Génisses d'élevage Année 1</t>
  </si>
  <si>
    <t>Génisses d'élevage Année 2</t>
  </si>
  <si>
    <t>Génisses d'élevage Année 3</t>
  </si>
  <si>
    <t>Rappel des effectifs</t>
  </si>
  <si>
    <t>Ensilage d'herbe</t>
  </si>
  <si>
    <t>Nombre de mois à l'herbe Génisses 36 mois</t>
  </si>
  <si>
    <t>Vélage 30-33 mois</t>
  </si>
  <si>
    <t>Vélage 36 mois</t>
  </si>
  <si>
    <t>&lt;-- Ensilage d'herbe aux génisses d'élevage Vélage 36 mois  1=OUI  2=NON</t>
  </si>
  <si>
    <t>&lt;-- Ensilage d'herbe aux génisses d'élevage Vélage 30-33 mois  1=OUI  2=NON</t>
  </si>
  <si>
    <t xml:space="preserve">  30-33 mois</t>
  </si>
  <si>
    <t>36 mois</t>
  </si>
  <si>
    <t>Total 30-33 mois</t>
  </si>
  <si>
    <t>Vaches allaitantes</t>
  </si>
  <si>
    <t>Mâles</t>
  </si>
  <si>
    <t>Mois</t>
  </si>
  <si>
    <t>vente</t>
  </si>
  <si>
    <t>8-18 mois</t>
  </si>
  <si>
    <t>Ré-</t>
  </si>
  <si>
    <t>gime</t>
  </si>
  <si>
    <t>Ens. Maïs</t>
  </si>
  <si>
    <t>Ens. Herbe</t>
  </si>
  <si>
    <r>
      <t>●</t>
    </r>
    <r>
      <rPr>
        <sz val="10"/>
        <rFont val="Arial"/>
        <family val="2"/>
      </rPr>
      <t xml:space="preserve"> type viande (3 mois)</t>
    </r>
  </si>
  <si>
    <r>
      <t>●</t>
    </r>
    <r>
      <rPr>
        <sz val="10"/>
        <rFont val="Arial"/>
        <family val="2"/>
      </rPr>
      <t xml:space="preserve"> type lait (2 mois)</t>
    </r>
  </si>
  <si>
    <t>Vaches réforme (tous formats)</t>
  </si>
  <si>
    <t>Existence dans l'exploitation</t>
  </si>
  <si>
    <t>Rappel Nb de mois d'engraissement Vaches de réforme type Viande</t>
  </si>
  <si>
    <t>Rappel Nb de mois d'engraissement Vaches de réforme type Lait</t>
  </si>
  <si>
    <t>Vélage Précoce/Tardif --&gt;</t>
  </si>
  <si>
    <t>&lt;-- Il existe des Génisses Année 1</t>
  </si>
  <si>
    <t>&lt;-- Il existe des Génisses Année 3</t>
  </si>
  <si>
    <t>&lt;-- Il existe des Génisses Année 2</t>
  </si>
  <si>
    <t>&lt;-- Il existe des vaches allaitantes</t>
  </si>
  <si>
    <t>&lt;-- Il existe des génisses d'élevage Année 1</t>
  </si>
  <si>
    <t>&lt;-- Il existe des génisses d'élevage Année 2</t>
  </si>
  <si>
    <t>&lt;-- Il existe des génisses d'élevage Année 3</t>
  </si>
  <si>
    <t>&lt;-- Nombre de mois à l'herbe Vaches allaitantes</t>
  </si>
  <si>
    <t>&lt;-- Nombre de mois à l'herbe Génisses Année 2</t>
  </si>
  <si>
    <t>&lt;-- Nombre de mois à l'herbe Génisses 36 mois</t>
  </si>
  <si>
    <t>Equations pour le calcul de l'ajout si ensilage d'herbe</t>
  </si>
  <si>
    <t>Rappel de l'effectif de VL --&gt;</t>
  </si>
  <si>
    <t>Total (kg/an)</t>
  </si>
  <si>
    <r>
      <t xml:space="preserve">   -</t>
    </r>
    <r>
      <rPr>
        <sz val="10"/>
        <rFont val="Arial"/>
        <family val="2"/>
      </rPr>
      <t xml:space="preserve"> mâles année 2 (hors taurillons)</t>
    </r>
  </si>
  <si>
    <r>
      <t>●</t>
    </r>
    <r>
      <rPr>
        <sz val="10"/>
        <rFont val="Arial"/>
        <family val="2"/>
      </rPr>
      <t xml:space="preserve"> Mâles à l'engraissement</t>
    </r>
  </si>
  <si>
    <r>
      <t>●</t>
    </r>
    <r>
      <rPr>
        <sz val="10"/>
        <rFont val="Arial"/>
        <family val="2"/>
      </rPr>
      <t xml:space="preserve"> toutes génisses d'élevage (année 1)</t>
    </r>
  </si>
  <si>
    <r>
      <t>●</t>
    </r>
    <r>
      <rPr>
        <sz val="10"/>
        <rFont val="Arial"/>
        <family val="2"/>
      </rPr>
      <t xml:space="preserve"> génisses de renouvellement (année 2)</t>
    </r>
  </si>
  <si>
    <r>
      <t>●</t>
    </r>
    <r>
      <rPr>
        <sz val="10"/>
        <rFont val="Arial"/>
        <family val="2"/>
      </rPr>
      <t xml:space="preserve"> génisses de renouvellement (année 3)</t>
    </r>
  </si>
  <si>
    <t>Troupeau laitier</t>
  </si>
  <si>
    <t>● génisses (0-12 mois; année 1)</t>
  </si>
  <si>
    <t>● génisses (25-36 mois; année 3)</t>
  </si>
  <si>
    <t>Troupeau allaitant</t>
  </si>
  <si>
    <t>● toutes génisses d'élevage (année 1)</t>
  </si>
  <si>
    <t>● génisses de renouvellement (année 2)</t>
  </si>
  <si>
    <t>● génisses de renouvellement (année 3)</t>
  </si>
  <si>
    <t>Animaux en engraissement</t>
  </si>
  <si>
    <t>● Mâles à l'engraissement</t>
  </si>
  <si>
    <t xml:space="preserve">   - mâles année 1 (y compris taurillons)</t>
  </si>
  <si>
    <t xml:space="preserve">   - mâles année 2 (hors taurillons)</t>
  </si>
  <si>
    <t xml:space="preserve">   - mâles année 3</t>
  </si>
  <si>
    <t>● Génisses à l'engraissement</t>
  </si>
  <si>
    <t xml:space="preserve">   - génisses année 2</t>
  </si>
  <si>
    <t xml:space="preserve">   - génisses année 3</t>
  </si>
  <si>
    <t>● Tous taurillons (année 2)</t>
  </si>
  <si>
    <t>● Toutes vaches de réforme</t>
  </si>
  <si>
    <t>Coeff N</t>
  </si>
  <si>
    <t>Effectifs pondérés par la durée</t>
  </si>
  <si>
    <t>Cas des vaches laitières</t>
  </si>
  <si>
    <t>Cas des vaches allaitantes</t>
  </si>
  <si>
    <t>ha, dont ha pâturés par</t>
  </si>
  <si>
    <t xml:space="preserve"> les vaches laitières seules</t>
  </si>
  <si>
    <t xml:space="preserve"> les vaches allaitantes (et leurs veaux) seules</t>
  </si>
  <si>
    <t>- Surface pâturée par ces animaux (ha)</t>
  </si>
  <si>
    <t>Calculs sur la base du calendrier fourrager</t>
  </si>
  <si>
    <t>Génisses laitières</t>
  </si>
  <si>
    <t>Engraissement</t>
  </si>
  <si>
    <t>Porcs</t>
  </si>
  <si>
    <t>Volailles</t>
  </si>
  <si>
    <t>Lapins</t>
  </si>
  <si>
    <t>Calendrier fourrager connu --&gt;</t>
  </si>
  <si>
    <t>Total exploitation</t>
  </si>
  <si>
    <t>SAU</t>
  </si>
  <si>
    <t>SAU nette</t>
  </si>
  <si>
    <t>SFP</t>
  </si>
  <si>
    <t>SFPc</t>
  </si>
  <si>
    <t>Azote (kg)</t>
  </si>
  <si>
    <t>P2O5 (kg)</t>
  </si>
  <si>
    <t>Vaches laitières</t>
  </si>
  <si>
    <t>AVL: Séquences alimentaires: VACHES LAITIERES</t>
  </si>
  <si>
    <t>ATA: Séquences alimentaires: TROUPEAU ALLAITANT</t>
  </si>
  <si>
    <t xml:space="preserve">Excédent de N à exporter : </t>
  </si>
  <si>
    <t xml:space="preserve">P2O5 exporté: </t>
  </si>
  <si>
    <t>Nature de l'effluent exporté :</t>
  </si>
  <si>
    <t>Objectif azote organique</t>
  </si>
  <si>
    <t xml:space="preserve">Quantités totales à épandre </t>
  </si>
  <si>
    <t xml:space="preserve">Quantités totales à exporter </t>
  </si>
  <si>
    <t xml:space="preserve">  ● Total N importé </t>
  </si>
  <si>
    <t xml:space="preserve">P2O5 importé: </t>
  </si>
  <si>
    <t xml:space="preserve">P2O5 à épandre </t>
  </si>
  <si>
    <t>Export d'azote</t>
  </si>
  <si>
    <t>VL_TypeVela</t>
  </si>
  <si>
    <t>VL_ClaVelPre</t>
  </si>
  <si>
    <t>TA_Formvach</t>
  </si>
  <si>
    <t>TA_FormGen</t>
  </si>
  <si>
    <t>TA_TypeVela</t>
  </si>
  <si>
    <t>EN_FormMal</t>
  </si>
  <si>
    <t>EN_FormTauri</t>
  </si>
  <si>
    <t>EN_FormGen</t>
  </si>
  <si>
    <t>AVL_JoConnus</t>
  </si>
  <si>
    <t>ATA_MoHeVa</t>
  </si>
  <si>
    <t>ATA_MoHeGe2</t>
  </si>
  <si>
    <t>ATA_MoHeG36</t>
  </si>
  <si>
    <t>ATA_Gen33FH</t>
  </si>
  <si>
    <t>ATA_EnsHeVa</t>
  </si>
  <si>
    <t>ATA_EnsHeG2</t>
  </si>
  <si>
    <t>ATA_EnsHe36</t>
  </si>
  <si>
    <t>ATA_EnsHe30</t>
  </si>
  <si>
    <t>AEN_MalMaHe</t>
  </si>
  <si>
    <t>AEN_VaRefV</t>
  </si>
  <si>
    <t>0/foin ou maïs</t>
  </si>
  <si>
    <t>Les génisses vont-elles à l'herbe ?</t>
  </si>
  <si>
    <t>Vélage précoce</t>
  </si>
  <si>
    <t>&lt;-- Rég. sans pâtur. Gén. Lait. An1 1=foin 2=EnsHerbe 3=EnsMaïs</t>
  </si>
  <si>
    <t>AGL_An2Hiv</t>
  </si>
  <si>
    <t>AGL_An3TarHiv</t>
  </si>
  <si>
    <t>AGL_An3Pre</t>
  </si>
  <si>
    <t>&lt;-- Rég. sans pâtur. Gén. Lait. An2 1=foin 2=EnsHerbe 3=EnsMaïs</t>
  </si>
  <si>
    <t>Périodes de pâturage complémenté</t>
  </si>
  <si>
    <t>Prévisions faites pour :</t>
  </si>
  <si>
    <t>Refus centri. lisier brut + boues recycl.</t>
  </si>
  <si>
    <t>Eau résiduaire après extraction boues</t>
  </si>
  <si>
    <t>Rég. Hiver Gén. Lait. An 2  1= Foin 2=EnsHerbe 3=EnsMaïs</t>
  </si>
  <si>
    <t>Gén. Lait. An 3 Vél Précoce Vont-elles à l'herbe? 1=OUI 2=NON</t>
  </si>
  <si>
    <t>Rég. Hiver Gén. Lait. An 3 Vél tardif 1= Foin 2=EnsHerbe 3=EnsMaïs</t>
  </si>
  <si>
    <t>AGL_An1SanPat</t>
  </si>
  <si>
    <t>AGL_An2SanPat</t>
  </si>
  <si>
    <t>Taurillons race viande</t>
  </si>
  <si>
    <t>Taurillons race laitière</t>
  </si>
  <si>
    <t>Taurillons race à viande</t>
  </si>
  <si>
    <t>UGB</t>
  </si>
  <si>
    <t>Total bovins</t>
  </si>
  <si>
    <t>Total autres</t>
  </si>
  <si>
    <t>Fourrages grossiers verts, ensilés ou deshydratés</t>
  </si>
  <si>
    <t>Cultures fourragères</t>
  </si>
  <si>
    <t xml:space="preserve"> %</t>
  </si>
  <si>
    <t>T MS / UGB</t>
  </si>
  <si>
    <t xml:space="preserve">    - dont quantités récoltées en ensilage</t>
  </si>
  <si>
    <t xml:space="preserve">    - dont quantités directement patûrées</t>
  </si>
  <si>
    <t>● ensilage de céréales immatures</t>
  </si>
  <si>
    <t xml:space="preserve">% </t>
  </si>
  <si>
    <r>
      <t>●</t>
    </r>
    <r>
      <rPr>
        <sz val="10"/>
        <rFont val="Arial"/>
        <family val="2"/>
      </rPr>
      <t xml:space="preserve"> génisses élevage (année 1)</t>
    </r>
  </si>
  <si>
    <r>
      <t>●</t>
    </r>
    <r>
      <rPr>
        <sz val="10"/>
        <rFont val="Arial"/>
        <family val="2"/>
      </rPr>
      <t xml:space="preserve"> génisses renouv. (année 2)</t>
    </r>
  </si>
  <si>
    <r>
      <t>●</t>
    </r>
    <r>
      <rPr>
        <sz val="10"/>
        <rFont val="Arial"/>
        <family val="2"/>
      </rPr>
      <t xml:space="preserve"> génisses renouv. (année 3)</t>
    </r>
  </si>
  <si>
    <t>● Poulettes élevées</t>
  </si>
  <si>
    <t>● Poulet léger ou export</t>
  </si>
  <si>
    <t>● Poulet label</t>
  </si>
  <si>
    <t>● Coquelet</t>
  </si>
  <si>
    <t>● Dindes reproductrices</t>
  </si>
  <si>
    <t>● Dindes futures reproductrices</t>
  </si>
  <si>
    <t>● Dindes de chair</t>
  </si>
  <si>
    <t>● Pintades reproductrices</t>
  </si>
  <si>
    <t>● Pintades futures reproductrices</t>
  </si>
  <si>
    <t>● Pintades de chair standard</t>
  </si>
  <si>
    <t>● Pintades de chair label</t>
  </si>
  <si>
    <t>● Canards de barbarie mâles</t>
  </si>
  <si>
    <t>● Oies à rotir</t>
  </si>
  <si>
    <t>● Oies prêtes à gaver</t>
  </si>
  <si>
    <t>● Oies grasses</t>
  </si>
  <si>
    <t>Mode de calcul ?</t>
  </si>
  <si>
    <t>Qx/ha</t>
  </si>
  <si>
    <t>Type vél.</t>
  </si>
  <si>
    <t>Age vél.</t>
  </si>
  <si>
    <t>Lactation</t>
  </si>
  <si>
    <t>MS</t>
  </si>
  <si>
    <t>Lait</t>
  </si>
  <si>
    <t>Poids VL</t>
  </si>
  <si>
    <t>Poids</t>
  </si>
  <si>
    <r>
      <t>●</t>
    </r>
    <r>
      <rPr>
        <sz val="10"/>
        <rFont val="Arial"/>
        <family val="2"/>
      </rPr>
      <t xml:space="preserve"> génisses élev. (année 1)</t>
    </r>
  </si>
  <si>
    <t>Génisses An 1</t>
  </si>
  <si>
    <t>Génisses An 2</t>
  </si>
  <si>
    <t>Génisses An 3</t>
  </si>
  <si>
    <t>précoce (par mois)</t>
  </si>
  <si>
    <r>
      <t>●</t>
    </r>
    <r>
      <rPr>
        <sz val="10"/>
        <rFont val="Arial"/>
        <family val="2"/>
      </rPr>
      <t xml:space="preserve"> génisses renouv (année 2)</t>
    </r>
  </si>
  <si>
    <r>
      <t>●</t>
    </r>
    <r>
      <rPr>
        <sz val="10"/>
        <rFont val="Arial"/>
        <family val="2"/>
      </rPr>
      <t xml:space="preserve"> génisses renouv (année 3)</t>
    </r>
  </si>
  <si>
    <t>Format</t>
  </si>
  <si>
    <t>&lt;-- Mode de calcul  1= par lapin produit  2= par place de repoductrice</t>
  </si>
  <si>
    <t>HS_ModeLapin</t>
  </si>
  <si>
    <t>● Lapins "naisseur-engraisseur"</t>
  </si>
  <si>
    <t>● Lapins "naisseur"</t>
  </si>
  <si>
    <t>● Lapins "engraisseur"</t>
  </si>
  <si>
    <t>● Lapines "naisseur-engraisseur"</t>
  </si>
  <si>
    <t>● Lapines "naisseur"</t>
  </si>
  <si>
    <t>Références CORPEN</t>
  </si>
  <si>
    <t>Références CORPEN/ Mode de calcul par lapin produit</t>
  </si>
  <si>
    <t>Références CORPEN/ Mode de calcul par place de reproductrice</t>
  </si>
  <si>
    <t>Conséquences pour la fertilisation des prairies</t>
  </si>
  <si>
    <t>- pour les prairies des autres bovins</t>
  </si>
  <si>
    <t>VL-TypeVela = 1</t>
  </si>
  <si>
    <t>VL-TypeVela = 2</t>
  </si>
  <si>
    <t>TA_Formvach=1</t>
  </si>
  <si>
    <t>TA_Formvach=2</t>
  </si>
  <si>
    <t>TA_Formvach=3</t>
  </si>
  <si>
    <t>TA_FormGen=1</t>
  </si>
  <si>
    <t>TA_FormGen=2</t>
  </si>
  <si>
    <t>TA_FormGen=3</t>
  </si>
  <si>
    <t>TA_TypeVela=1</t>
  </si>
  <si>
    <t>TA_TypeVela=2</t>
  </si>
  <si>
    <t>EN_FormMal=1</t>
  </si>
  <si>
    <t>EN_FormMal=2</t>
  </si>
  <si>
    <t>EN_FormMal=3</t>
  </si>
  <si>
    <t>EN_FormGen=1</t>
  </si>
  <si>
    <t>EN_FormGen=2</t>
  </si>
  <si>
    <t>EN_FormGen=3</t>
  </si>
  <si>
    <t>EN_FormTauri=1</t>
  </si>
  <si>
    <t>EN_FormTauri=2</t>
  </si>
  <si>
    <t>EN_FormTauri=3</t>
  </si>
  <si>
    <t>SA_Herbe_Vache</t>
  </si>
  <si>
    <t>Cette fertilisation minérale de complément ne devrait pas dépasser</t>
  </si>
  <si>
    <t>80 à 120 kg N/ha selon le système de pâturage et son chargement</t>
  </si>
  <si>
    <t>pour une production au champ de 8 à 10 tonnes de MS / ha</t>
  </si>
  <si>
    <t xml:space="preserve">Une fumure d'entretien de 20 à 30 kg P2O5 /ha est </t>
  </si>
  <si>
    <t>généralement suffisante si les apports organiques de P</t>
  </si>
  <si>
    <t>calculés ci-contre sont inférieurs aux besoins</t>
  </si>
  <si>
    <t>On tiendra compte des apports organiques calculés ci-contre</t>
  </si>
  <si>
    <t>pour une fumure d'entretien de 50 à 80 kg / ha si les apports</t>
  </si>
  <si>
    <t>organiques de K sont inférieurs aux besoins</t>
  </si>
  <si>
    <t>Arrière-effets des résidus de la culture précédente (Kg / ha)</t>
  </si>
  <si>
    <t>&lt; 1 an</t>
  </si>
  <si>
    <t>2.7. Solde à couvrir après prise en compte des apports de N P K par le sol</t>
  </si>
  <si>
    <t>3. Fertilisation organique ET minérale</t>
  </si>
  <si>
    <t>Nombre</t>
  </si>
  <si>
    <t>Chargement</t>
  </si>
  <si>
    <t>Vaches en production</t>
  </si>
  <si>
    <t>● Vaches laitières</t>
  </si>
  <si>
    <t>Autres bovins</t>
  </si>
  <si>
    <t>0-12 mois; année 1</t>
  </si>
  <si>
    <t>13-24 mois; année 2</t>
  </si>
  <si>
    <t>25-36 mois; année 3</t>
  </si>
  <si>
    <t>Total génisses laitières</t>
  </si>
  <si>
    <t>Génisses allaitantes</t>
  </si>
  <si>
    <t>année 2</t>
  </si>
  <si>
    <t>année 3</t>
  </si>
  <si>
    <t>Vélage 30-33</t>
  </si>
  <si>
    <t>Vélage 36</t>
  </si>
  <si>
    <t>Total génisses allaitantes</t>
  </si>
  <si>
    <t>Total mâles engraissement</t>
  </si>
  <si>
    <t>Vaches de réforme</t>
  </si>
  <si>
    <t>type viande</t>
  </si>
  <si>
    <t>type lait</t>
  </si>
  <si>
    <t>Nbre mois à l'herbe</t>
  </si>
  <si>
    <t>Total vaches de réforme</t>
  </si>
  <si>
    <t>N total</t>
  </si>
  <si>
    <t>UGB/ha SAU</t>
  </si>
  <si>
    <t>dont</t>
  </si>
  <si>
    <t>Totales</t>
  </si>
  <si>
    <t>VL + Génisses renouv.</t>
  </si>
  <si>
    <t>VAL + Génisses renouv.</t>
  </si>
  <si>
    <t>- Chargement moyen saison au pâturage (UGB/ha)</t>
  </si>
  <si>
    <t>Rendement</t>
  </si>
  <si>
    <t>Tonne MS / ha</t>
  </si>
  <si>
    <t>N</t>
  </si>
  <si>
    <t>● Production des prairies (tonnes MS / ha)</t>
  </si>
  <si>
    <t>● Taux de trèfle dans les prairies (%)</t>
  </si>
  <si>
    <t>&lt;= 20%</t>
  </si>
  <si>
    <t>&gt;= 45%</t>
  </si>
  <si>
    <t>30 %</t>
  </si>
  <si>
    <t>40 %</t>
  </si>
  <si>
    <t>● Age de la prairie</t>
  </si>
  <si>
    <t>Peu profond / pousse faible</t>
  </si>
  <si>
    <t>● Sol / végétation en période estivale</t>
  </si>
  <si>
    <t>Profond / bonne pousse</t>
  </si>
  <si>
    <t>2 à 5 ans</t>
  </si>
  <si>
    <t>5 ans ou +</t>
  </si>
  <si>
    <t>Faible / Extensif</t>
  </si>
  <si>
    <t>100-150 Kg N ha / 1-1.5 UGB ha</t>
  </si>
  <si>
    <t>Forte / Intensif</t>
  </si>
  <si>
    <t>● Besoins initiaux (1.) - apport prévisibles</t>
  </si>
  <si>
    <t>40-60 cm / pousse moyenne</t>
  </si>
  <si>
    <t>● Fertilisation antérieure / Intensité pâturage</t>
  </si>
  <si>
    <t>2.2. Fourniture de N par le sol</t>
  </si>
  <si>
    <t>2.3. Fixation de N des trèfles des associations</t>
  </si>
  <si>
    <t>Aucune fertilisation organique n'est prévue:</t>
  </si>
  <si>
    <t>FertiPrairies</t>
  </si>
  <si>
    <t xml:space="preserve">   - Entrer la dose brute (tonne par ha) prévue à partir des stocks disponibles</t>
  </si>
  <si>
    <t xml:space="preserve">     sinon des valeurs standards seront utilisées automatiquement</t>
  </si>
  <si>
    <t>Dose</t>
  </si>
  <si>
    <t>(kg/Tonne)</t>
  </si>
  <si>
    <t>Doses efficaces</t>
  </si>
  <si>
    <t>teneurs standards</t>
  </si>
  <si>
    <t>Pour information:</t>
  </si>
  <si>
    <t>Quantités d'azote et de phosphore à la source des arrière-effets des années suivantes</t>
  </si>
  <si>
    <t xml:space="preserve">   - En moyenne, les doses d'azote efficace de 40 à 60 kg N/ha sont obtenues</t>
  </si>
  <si>
    <t xml:space="preserve">     avec des épandages de 25 à 40 m3 par ha avec des lisiers de bovins</t>
  </si>
  <si>
    <t>(kg/m3)</t>
  </si>
  <si>
    <t xml:space="preserve">     et de 20 à 30 m3 par ha avec des lisiers de porc. En effet le coefficient</t>
  </si>
  <si>
    <t>en fonction de leur mode d'exploitation (par ha)</t>
  </si>
  <si>
    <t>teneurs prises en compte</t>
  </si>
  <si>
    <t>Qtés brutes</t>
  </si>
  <si>
    <t>Graminées</t>
  </si>
  <si>
    <t>Associations</t>
  </si>
  <si>
    <t>K2O</t>
  </si>
  <si>
    <t>Phosphore</t>
  </si>
  <si>
    <t>P: commentaire si complément à apporter négatif</t>
  </si>
  <si>
    <t>P: commentaire si complément à apporter positif</t>
  </si>
  <si>
    <t>Le complément minéral qui apparaît ne sera</t>
  </si>
  <si>
    <t>épandu que si la teneur analysée du sol est inférieure à:</t>
  </si>
  <si>
    <t xml:space="preserve"> </t>
  </si>
  <si>
    <t>Excédent</t>
  </si>
  <si>
    <t>Vous êtes en excédent de phosphore</t>
  </si>
  <si>
    <t>3.1. Fertilisation organique ET minérale</t>
  </si>
  <si>
    <t>3.2. Fertilisation minérale comme seul complément</t>
  </si>
  <si>
    <t>Bilan prévisionnel de la fertilisation des cultures</t>
  </si>
  <si>
    <t>- pour les prairies</t>
  </si>
  <si>
    <t>Doses maxi de P2O5 (en kg/ha)</t>
  </si>
  <si>
    <t>- pour les céréales</t>
  </si>
  <si>
    <t>- pour le maïs</t>
  </si>
  <si>
    <t>- pour les autres cultures</t>
  </si>
  <si>
    <t>Surface</t>
  </si>
  <si>
    <t>Total P2O5 maxi</t>
  </si>
  <si>
    <t xml:space="preserve">  ● Prairies épandables</t>
  </si>
  <si>
    <t>Coefficients P2O5 / N en fonction de la nature de l'effluent importé</t>
  </si>
  <si>
    <t xml:space="preserve"> kg de P2O5 total</t>
  </si>
  <si>
    <t>P2O5 restant à épandre :</t>
  </si>
  <si>
    <t>N restant à épandre :</t>
  </si>
  <si>
    <t xml:space="preserve"> kg N totaux</t>
  </si>
  <si>
    <t>1. Prévision des besoins des cultures</t>
  </si>
  <si>
    <t>Objectifs de Rendement</t>
  </si>
  <si>
    <t>Orge, seigle, avoine</t>
  </si>
  <si>
    <t>Maïs ensilage</t>
  </si>
  <si>
    <t>Colza</t>
  </si>
  <si>
    <t>Tournesol</t>
  </si>
  <si>
    <t>Lupin</t>
  </si>
  <si>
    <t>Pomme de terre de plein champ</t>
  </si>
  <si>
    <t>Lin graine</t>
  </si>
  <si>
    <t>Betteraves sucrières</t>
  </si>
  <si>
    <t>Betteraves fourragères</t>
  </si>
  <si>
    <t>Soja</t>
  </si>
  <si>
    <t>Crucifères fourragères</t>
  </si>
  <si>
    <t>Q</t>
  </si>
  <si>
    <t>TS</t>
  </si>
  <si>
    <t>Quintaux</t>
  </si>
  <si>
    <t>/ ha</t>
  </si>
  <si>
    <t>Tonnes</t>
  </si>
  <si>
    <t>Mat. fraîche / ha</t>
  </si>
  <si>
    <t>Mat. sèche / ha</t>
  </si>
  <si>
    <t>2.1. Apports des reliquats en sortie hiver</t>
  </si>
  <si>
    <t>OUI</t>
  </si>
  <si>
    <t>NON</t>
  </si>
  <si>
    <t>Ensilage du Cycle 1 + 3-4 pâturages</t>
  </si>
  <si>
    <t>Co-produits solides</t>
  </si>
  <si>
    <t xml:space="preserve">   - Si les co-produits ont été analysés entrer les teneurs en N, P2O5 et K2O</t>
  </si>
  <si>
    <t xml:space="preserve">   - Entrer la dose brute (m3 par ha) prévue à partir des stocks disponibles</t>
  </si>
  <si>
    <t xml:space="preserve">     d'efficacité de l'azote des porcins (0.6) est supérieur à celui des bovins (0.4)</t>
  </si>
  <si>
    <t>Refus Centri Lisier</t>
  </si>
  <si>
    <t>Co-produits solidesRefus Centri Lisier</t>
  </si>
  <si>
    <t>Co-produits solidesCompost</t>
  </si>
  <si>
    <t xml:space="preserve">Avez-vous les résultats d'une analyse de sol ?  </t>
  </si>
  <si>
    <t>Azote (kg/an)</t>
  </si>
  <si>
    <t>P2O5 (kg/an)</t>
  </si>
  <si>
    <t>K2O (kg/an)</t>
  </si>
  <si>
    <t>Quantités de N, P, K organiques produites et pressions sur les surfaces exploitées</t>
  </si>
  <si>
    <t xml:space="preserve">Le chargement critique des VL est supérieur à </t>
  </si>
  <si>
    <t xml:space="preserve">Le chargement critique des VAL est supérieur à </t>
  </si>
  <si>
    <t>aux vaches</t>
  </si>
  <si>
    <t>- pour les prairies réservées aux vaches laitières</t>
  </si>
  <si>
    <t>- pour les prairies réservées aux vaches allaitantes</t>
  </si>
  <si>
    <t>2. Apports prévisibles de N, P et K (kg par ha)</t>
  </si>
  <si>
    <t>● Reste à couvrir après correction [due aux coefficients d'utilisation de N P K]</t>
  </si>
  <si>
    <t>Pâturage de tous les cycles avec plus de 30% de trèfle</t>
  </si>
  <si>
    <t>Pâturage de tous les cycles avec 20-25% de trèfle</t>
  </si>
  <si>
    <t>Entrez les résultats de l'analyse de sol</t>
  </si>
  <si>
    <t>(somme des 3 horizons)</t>
  </si>
  <si>
    <t>le réseau local d'informations agronomiques</t>
  </si>
  <si>
    <t>Entrez les références de l'année indiquées par</t>
  </si>
  <si>
    <t>(kg/ha)</t>
  </si>
  <si>
    <t>2.2. Arrière-effets des apports d'azote organique antérieurs</t>
  </si>
  <si>
    <t>Fréquence d'épandage</t>
  </si>
  <si>
    <t>Fumiers</t>
  </si>
  <si>
    <t>Composts</t>
  </si>
  <si>
    <t>Lisiers</t>
  </si>
  <si>
    <t>&gt; 30 tonnes/ha</t>
  </si>
  <si>
    <t>&lt;= 30 tonnes/ha</t>
  </si>
  <si>
    <t>&gt; 20 tonnes/ha</t>
  </si>
  <si>
    <t>&lt;= 20 tonnes/ha</t>
  </si>
  <si>
    <t>&gt; 40 m3/ha</t>
  </si>
  <si>
    <t>2 ans</t>
  </si>
  <si>
    <t>3 ans</t>
  </si>
  <si>
    <t>Dose épandue par an</t>
  </si>
  <si>
    <t>K2O (kg/VL/an)</t>
  </si>
  <si>
    <t>Total K2O</t>
  </si>
  <si>
    <t>K2O (kg)</t>
  </si>
  <si>
    <t>K2O (kg/animal/an)</t>
  </si>
  <si>
    <t>pâturage</t>
  </si>
  <si>
    <t>Jours de</t>
  </si>
  <si>
    <t>UGB*jours</t>
  </si>
  <si>
    <t>Surface réservée</t>
  </si>
  <si>
    <t>Mâles engraissement (croissance et engrais)</t>
  </si>
  <si>
    <t xml:space="preserve"> "Graminées + Trèfle blanc" ou "Graminées + Trèfle violet"</t>
  </si>
  <si>
    <t>1. Besoins en N, P et K des prairies de graminées</t>
  </si>
  <si>
    <t xml:space="preserve">  (exprimées en N, P2O5 et K2O efficaces)</t>
  </si>
  <si>
    <t>Potasse</t>
  </si>
  <si>
    <t>TF</t>
  </si>
  <si>
    <t>Indicateurs des chargements et valeurs N/P/K des UGB des troupeaux laitier et allaitant</t>
  </si>
  <si>
    <t>Effectifs vendus à 8-9 mois</t>
  </si>
  <si>
    <t>Correction par animal vendu</t>
  </si>
  <si>
    <t>Effluents épandus</t>
  </si>
  <si>
    <t>Temps passé depuis le retournement</t>
  </si>
  <si>
    <t>Age de la prairie retournée</t>
  </si>
  <si>
    <t>1 an</t>
  </si>
  <si>
    <t>4 ans</t>
  </si>
  <si>
    <t>5 ans</t>
  </si>
  <si>
    <t>&lt;= 3 ans</t>
  </si>
  <si>
    <t>&gt;= 6 ans</t>
  </si>
  <si>
    <t>&gt;= 5 ans</t>
  </si>
  <si>
    <t>2.3. Arrière-effets du retournement des prairies</t>
  </si>
  <si>
    <t>2.4. Arrière-effets des résidus de la culture précédente</t>
  </si>
  <si>
    <t>Céréales, pailles enfouies</t>
  </si>
  <si>
    <t>Céréales, pailles récoltées</t>
  </si>
  <si>
    <t>Maïs grain, résidus tiges enfouis</t>
  </si>
  <si>
    <t>Colza, Betterave, Pomme de terre</t>
  </si>
  <si>
    <t>Légumineuses fourragères</t>
  </si>
  <si>
    <t>Fanes de protéagineux</t>
  </si>
  <si>
    <t>Cultures de pois, haricots (conserve)</t>
  </si>
  <si>
    <t>Cultures pièges à nitrates Rdt &gt; 2,5 T/ha</t>
  </si>
  <si>
    <t>Cultures pièges à nitrates Rdt &lt;= 2,5 T/ha</t>
  </si>
  <si>
    <t>K20</t>
  </si>
  <si>
    <t>Refus centrifugeuse sur lisier brut</t>
  </si>
  <si>
    <t>Boues biologiques après centrifugeuse</t>
  </si>
  <si>
    <t>Eau résiduaire après extraction des boues</t>
  </si>
  <si>
    <t>Compost de lisier sur paille</t>
  </si>
  <si>
    <t>Culture précédente</t>
  </si>
  <si>
    <t>2.5. Minéralisation de la matière organique du sol</t>
  </si>
  <si>
    <t>2.6. Fourniture totale prévisible de N, P2O5 et K2O par le sol</t>
  </si>
  <si>
    <t>● Poulet standard</t>
  </si>
  <si>
    <t>3.1. Utilisation des engrais organiques</t>
  </si>
  <si>
    <t>/ha</t>
  </si>
  <si>
    <t>tonnes</t>
  </si>
  <si>
    <t>Fumiers de bovins mixtes</t>
  </si>
  <si>
    <t>Fumiers d'ovins</t>
  </si>
  <si>
    <t>Fumiers de porc</t>
  </si>
  <si>
    <t>PlanEpandage</t>
  </si>
  <si>
    <t>Autonomie</t>
  </si>
  <si>
    <t>- sur paille</t>
  </si>
  <si>
    <t>- sur sciure ou copeaux</t>
  </si>
  <si>
    <t>● Fumiers -----------------------------------------------</t>
  </si>
  <si>
    <t>Fumiers de poules pondeuses</t>
  </si>
  <si>
    <t>- séchés en hangar</t>
  </si>
  <si>
    <t>- séchés à 80% de MS</t>
  </si>
  <si>
    <t>Fumiers de dindes</t>
  </si>
  <si>
    <t>Fumiers de pintades</t>
  </si>
  <si>
    <t>● Composts -----------------------------------------------</t>
  </si>
  <si>
    <t>● Lisiers -----------------------------------------------</t>
  </si>
  <si>
    <t>Lisiers de porc</t>
  </si>
  <si>
    <t>Lisiers bovins</t>
  </si>
  <si>
    <t>- mixtes et couverts</t>
  </si>
  <si>
    <t>Fumiers de bovins à l'engrais</t>
  </si>
  <si>
    <t>- dilués et couverts</t>
  </si>
  <si>
    <t>- dilués non couverts</t>
  </si>
  <si>
    <t>- mixtes</t>
  </si>
  <si>
    <t>Lisiers de pondeuses (10% MS)</t>
  </si>
  <si>
    <t>- humides</t>
  </si>
  <si>
    <t>Culture</t>
  </si>
  <si>
    <t>● Nature du pâturage</t>
  </si>
  <si>
    <t>Pâturage en rotation de 4 semaines</t>
  </si>
  <si>
    <t>Pâturage en rotation de 4-5 semaines</t>
  </si>
  <si>
    <t>Ensilage du Cycle 1 + 3 pâturages</t>
  </si>
  <si>
    <t>Foin tardif + 2 à 3 pâturages</t>
  </si>
  <si>
    <t>Foin de prairies permanentes + 2 à 3 pâturages</t>
  </si>
  <si>
    <t>Chargement (VL/ha pâturés)</t>
  </si>
  <si>
    <t>VL/ha</t>
  </si>
  <si>
    <t>● Période 1 (printemps)</t>
  </si>
  <si>
    <t>Période 1 (printemps)</t>
  </si>
  <si>
    <t>Période 2 (début été)</t>
  </si>
  <si>
    <t>Total surface pâturée VL</t>
  </si>
  <si>
    <t>Période 2 (été)</t>
  </si>
  <si>
    <t>Total surface pâturée VAL</t>
  </si>
  <si>
    <t>Limite chargement critique vaches</t>
  </si>
  <si>
    <t>Limite du chargement critique pour les vaches</t>
  </si>
  <si>
    <t>Limite du chargement critique pour les autres bovins</t>
  </si>
  <si>
    <t>Limite chargement critique autres bovins</t>
  </si>
  <si>
    <t xml:space="preserve"> : le risque d'augmentation du lessivage de l'azote est fort</t>
  </si>
  <si>
    <t xml:space="preserve">Le chargement critique est supérieur à </t>
  </si>
  <si>
    <t>aux autres bovins</t>
  </si>
  <si>
    <t>(exprimé en UGB*jours par ha)</t>
  </si>
  <si>
    <t>vis-à-vis de l'azote potentiellement lessivable</t>
  </si>
  <si>
    <t>Pomme de terre fécule</t>
  </si>
  <si>
    <t>Haricot vert conserve</t>
  </si>
  <si>
    <t>Pois, féverole, haricot</t>
  </si>
  <si>
    <t>Maïs grain</t>
  </si>
  <si>
    <t>Jachère</t>
  </si>
  <si>
    <t>- charcutier</t>
  </si>
  <si>
    <t>(kg/tonne)</t>
  </si>
  <si>
    <t>Préparation du plan annuel d'épandage</t>
  </si>
  <si>
    <t>Les engrais organiques doivent maintenant remplacer une grande partie des engrais minéraux, en particulier dans les zones d'élevage. Aussi leur épandage est à prévoir en fonction de l'aptitude des parcelles et des besoins N P K des cultures et des prairies. En outre, il faut tenir compte des éventuelles entrées ou sorties d'effluents. L'exploitation va se trouver dans l'un des cas suivants</t>
  </si>
  <si>
    <t>Situez-vous dans l'un des cas suivants</t>
  </si>
  <si>
    <t>NonExced</t>
  </si>
  <si>
    <t>Cas en situation non excédentaire (1=ni export ni import; 2= Export; 3 = Import)</t>
  </si>
  <si>
    <t xml:space="preserve">  ● Autre culture</t>
  </si>
  <si>
    <t>Surface (ha)</t>
  </si>
  <si>
    <t>Quantités totales importées</t>
  </si>
  <si>
    <t>Quantités totales à épandre</t>
  </si>
  <si>
    <t xml:space="preserve"> kg de P2O5</t>
  </si>
  <si>
    <t xml:space="preserve"> kg de N</t>
  </si>
  <si>
    <t>Calcul de la répartition des effluents à épandre</t>
  </si>
  <si>
    <t>● Co-produits de traitement des lisiers porcins ---</t>
  </si>
  <si>
    <t>tonnes/ha</t>
  </si>
  <si>
    <t>● Co-produits de traitement des lisiers porcins</t>
  </si>
  <si>
    <t>teneurs standards (Kg/tonne)</t>
  </si>
  <si>
    <t>Prairies d'association</t>
  </si>
  <si>
    <t>1. Besoins en N, P et K des prairies d'association</t>
  </si>
  <si>
    <t>Nature de la fertilisation organique</t>
  </si>
  <si>
    <t>Fumier</t>
  </si>
  <si>
    <t>Lisier</t>
  </si>
  <si>
    <t>Compost</t>
  </si>
  <si>
    <t>bovins</t>
  </si>
  <si>
    <t>porcins: paille</t>
  </si>
  <si>
    <t>porcins: sciure/copeaux</t>
  </si>
  <si>
    <t>mixtes de porc</t>
  </si>
  <si>
    <t>porc engrais</t>
  </si>
  <si>
    <t>Fertilisation minérale complémentaire à apporter (kg/ha)</t>
  </si>
  <si>
    <t>Lisiers de dindes</t>
  </si>
  <si>
    <t>Comp. fumiers de bovins mixtes</t>
  </si>
  <si>
    <t>Comp. fumiers d'ovins</t>
  </si>
  <si>
    <t>Comp. fumiers de porc</t>
  </si>
  <si>
    <t>Comp. lisier porc + paille</t>
  </si>
  <si>
    <t>Comp. fumiers de volailles (sf dindes)</t>
  </si>
  <si>
    <t>Comp. fumiers de dindes</t>
  </si>
  <si>
    <t>Système de culture</t>
  </si>
  <si>
    <t xml:space="preserve">Résidus culture précédente enfouis ?   </t>
  </si>
  <si>
    <t xml:space="preserve">Couverture hivernale ?   </t>
  </si>
  <si>
    <t>Oui</t>
  </si>
  <si>
    <t>Dans la liste ci-dessous entrez la(les) dose(s)</t>
  </si>
  <si>
    <t>Seuil de décision d'impasse P2O5</t>
  </si>
  <si>
    <t>mg/kg terre</t>
  </si>
  <si>
    <t>Seuil de décision d'impasse K2O</t>
  </si>
  <si>
    <t xml:space="preserve">Votre sol contient plus de </t>
  </si>
  <si>
    <t xml:space="preserve"> mg de P2O5 par kg, aucune fertilisation minérale n'est nécessaire</t>
  </si>
  <si>
    <t xml:space="preserve"> mg de K2O par kg, aucune fertilisation minérale n'est nécessaire</t>
  </si>
  <si>
    <t>mg/kg terre (Dyer)</t>
  </si>
  <si>
    <t>mg/kg terre (Olsen)</t>
  </si>
  <si>
    <t>K: commentaire si complément à apporter négatif</t>
  </si>
  <si>
    <t>Vous êtes en excédent de potasse</t>
  </si>
  <si>
    <t>Il ne faut donc pas apporter de complément potassique</t>
  </si>
  <si>
    <t>K: commentaire si complément à apporter positif</t>
  </si>
  <si>
    <t>Aucune fertilisation minérale n'est nécessaire</t>
  </si>
  <si>
    <t>P: Commentaire si équilibre</t>
  </si>
  <si>
    <t>K: Commentaire si équilibre</t>
  </si>
  <si>
    <t>Lin fibre</t>
  </si>
  <si>
    <t>Chanvre</t>
  </si>
  <si>
    <t>- à l'engrais couverts</t>
  </si>
  <si>
    <t xml:space="preserve"> du(des) effluent(s) que vous envisagez d'épandre</t>
  </si>
  <si>
    <t>kg par ha</t>
  </si>
  <si>
    <t xml:space="preserve">Doses efficaces totales (kg / ha)   </t>
  </si>
  <si>
    <t>3.2. Bilans et propositions pour la fertilisation minérale complémentaire</t>
  </si>
  <si>
    <t>AEN_VaRefL</t>
  </si>
  <si>
    <t>&lt;-- Vaches de réforme type lait   1=ens.maïs  2=ens.herbe   3=pâturage</t>
  </si>
  <si>
    <t xml:space="preserve">Durée de la saison de pâturage : </t>
  </si>
  <si>
    <t>Coefficient de calcul d'UGB pour vache en production</t>
  </si>
  <si>
    <t>Coefficient de calcul d'UGB pour génisse troupeau laitier année 1</t>
  </si>
  <si>
    <t>Coefficient de calcul d'UGB pour génisse troupeau laitier année 2</t>
  </si>
  <si>
    <t>Coefficient de calcul d'UGB pour génisse troupeau laitier année 3</t>
  </si>
  <si>
    <t>précoce</t>
  </si>
  <si>
    <t>tardif</t>
  </si>
  <si>
    <t>Coefficient de calcul d'UGB pour vaches allaitantes</t>
  </si>
  <si>
    <t>Coefficient de calcul d'UGB pour génisses d'élevage (année 1)</t>
  </si>
  <si>
    <t>Coefficient de calcul d'UGB pour génisses d'élevage (année 2)</t>
  </si>
  <si>
    <t>Coefficient de calcul d'UGB pour génisses d'élevage (année 3)</t>
  </si>
  <si>
    <t>600 kg</t>
  </si>
  <si>
    <t>670 kg</t>
  </si>
  <si>
    <t>740 kg</t>
  </si>
  <si>
    <t>léger</t>
  </si>
  <si>
    <t>moyen</t>
  </si>
  <si>
    <t>lourd</t>
  </si>
  <si>
    <t>TA_TypeVela=1 (précoce)</t>
  </si>
  <si>
    <t>TA_TypeVela=2 (tardif)</t>
  </si>
  <si>
    <t>Coefficient de calcul d'UGB pour mâles année 1</t>
  </si>
  <si>
    <t>Coefficient de calcul d'UGB pour mâles année 2</t>
  </si>
  <si>
    <t>Coefficient de calcul d'UGB pour mâles année 3 (25-28 mois)</t>
  </si>
  <si>
    <t>Coefficient de calcul d'UGB pour mâles année 3 (25-30 mois)</t>
  </si>
  <si>
    <t>Coefficient de calcul d'UGB pour mâles année 3 (25-33 mois)</t>
  </si>
  <si>
    <t>Coefficient de calcul d'UGB pour mâles année 3 (25-36 mois)</t>
  </si>
  <si>
    <t xml:space="preserve">   - Si les lisiers ont été analysés entrer les teneurs en N, P2O5 et K2O</t>
  </si>
  <si>
    <t xml:space="preserve">   - Si les fumiers ont été analysés, entrer les teneurs en N, P2O5 et K2O</t>
  </si>
  <si>
    <t xml:space="preserve">   - Si les composts ont été analysés, entrer les teneurs en N, P2O5 et K2O</t>
  </si>
  <si>
    <t>...</t>
  </si>
  <si>
    <t>Coefficient de calcul d'UGB pour taurillons de race à viande</t>
  </si>
  <si>
    <t>Coefficient de calcul d'UGB pour taurillons de race laitière</t>
  </si>
  <si>
    <t>Coefficient de calcul d'UGB pour génisses année 2</t>
  </si>
  <si>
    <t>Coefficient de calcul d'UGB pour génisses année 3 (25-30 mois)</t>
  </si>
  <si>
    <t>Coefficient de calcul d'UGB pour génisses année 3 (25-33 mois)</t>
  </si>
  <si>
    <t>Coefficient de calcul d'UGB pour génisses année 3 (25-36 mois)</t>
  </si>
  <si>
    <t>Coefficient de calcul d'UGB pour vaches de réforme type viande</t>
  </si>
  <si>
    <t>Coefficient de calcul d'UGB pour vaches de réforme type lait</t>
  </si>
  <si>
    <t>Coeff calcul UGB génisse troupeau laitier année 1</t>
  </si>
  <si>
    <t>Coeff calcul UGB génisse troupeau laitier année 2</t>
  </si>
  <si>
    <t>Coeff calcul UGB génisse troupeau laitier année 3</t>
  </si>
  <si>
    <t>Coeff calcul UGB vaches allaitantes</t>
  </si>
  <si>
    <t>Coeff calcul UGB génisses d'élevage (année 1)</t>
  </si>
  <si>
    <t>Coeff calcul UGB génisses d'élevage (année 2)</t>
  </si>
  <si>
    <t>Coeff calcul UGB génisses d'élevage (année 3)</t>
  </si>
  <si>
    <t>Coeff calcul UGB mâles année 1</t>
  </si>
  <si>
    <t>Coeff calcul UGB mâles année 2</t>
  </si>
  <si>
    <t>Coeff calcul UGB mâles année 3 (25-28 mois)</t>
  </si>
  <si>
    <t>Coeff calcul UGB mâles année 3 (25-30 mois)</t>
  </si>
  <si>
    <t>Coeff calcul UGB mâles année 3 (25-33 mois)</t>
  </si>
  <si>
    <t>Coeff calcul UGB mâles année 3 (25-36 mois)</t>
  </si>
  <si>
    <t xml:space="preserve">  - dont récoltées en ensilage</t>
  </si>
  <si>
    <t xml:space="preserve">  - dont directement patûrées</t>
  </si>
  <si>
    <t>Approche du degré d'autonomie fourragère de l'exploitation</t>
  </si>
  <si>
    <t>● blé et/ou triticale</t>
  </si>
  <si>
    <t>- humides sortie stockage</t>
  </si>
  <si>
    <t>- stockés en fosse profonde</t>
  </si>
  <si>
    <t>Lisiers de canards</t>
  </si>
  <si>
    <t>(entrées brutes - N, P2O5 ou K2O efficaces de l'année, calculées ci-dessus)</t>
  </si>
  <si>
    <t>Priorité d'épandage 1= cultures  2=prairies</t>
  </si>
  <si>
    <t>Surface Fourragère Principale (SFP)</t>
  </si>
  <si>
    <t>● Période 1 (printemps-début été)</t>
  </si>
  <si>
    <t>VEAUX DE BOUCHERIE (nombre produit par an)</t>
  </si>
  <si>
    <t>● Porcelets produits par an</t>
  </si>
  <si>
    <t>● Porcs charcutiers produits par an</t>
  </si>
  <si>
    <t>PORCS</t>
  </si>
  <si>
    <t>P2O5 total</t>
  </si>
  <si>
    <t>K2O total</t>
  </si>
  <si>
    <t>&lt;= 40 m3/ha</t>
  </si>
  <si>
    <t>● Poulettes élevées bio</t>
  </si>
  <si>
    <t>● Poulet bio</t>
  </si>
  <si>
    <t>● Pintades de chair bio</t>
  </si>
  <si>
    <t>Pression totale par ha</t>
  </si>
  <si>
    <t>Total produit</t>
  </si>
  <si>
    <t>2. Fourniture de N, P2O5 et K2O par le sol et l'atmosphère</t>
  </si>
  <si>
    <t>2.6. Apport d'azote d'origine atmosphérique</t>
  </si>
  <si>
    <t>Litière accumulée paille</t>
  </si>
  <si>
    <t>Litière accumulée sciure</t>
  </si>
  <si>
    <t xml:space="preserve"> kg</t>
  </si>
  <si>
    <t>Caillebotis seul</t>
  </si>
  <si>
    <t>Standard</t>
  </si>
  <si>
    <t>Biphase</t>
  </si>
  <si>
    <t>Reproducteurs (truies et verrats)</t>
  </si>
  <si>
    <t>Porcelets</t>
  </si>
  <si>
    <t>Porcs charcutiers</t>
  </si>
  <si>
    <t>Cochettes élevées sur place</t>
  </si>
  <si>
    <t>Avec</t>
  </si>
  <si>
    <t>Sans</t>
  </si>
  <si>
    <t>compostage</t>
  </si>
  <si>
    <t>Période de stabulation hivernale</t>
  </si>
  <si>
    <t xml:space="preserve">                   L'addition des valeurs des postes 2.1 à 2.6 donne ----------------------------------------------------------------------------&gt;</t>
  </si>
  <si>
    <t xml:space="preserve">Méthode d'analyse P2O5 </t>
  </si>
  <si>
    <t>Dyer</t>
  </si>
  <si>
    <t>Olsen</t>
  </si>
  <si>
    <t>Forte - Intensif: &gt;150 kg N/ha - &gt;2.5 UGB/ha</t>
  </si>
  <si>
    <t>100-150 Kg N/ha - 2.0-2.5 UGB/ha</t>
  </si>
  <si>
    <t>Faible - Extensif: &lt;100 kg N/ha - &lt;2 UGB/ha</t>
  </si>
  <si>
    <t>Coeff P2O5</t>
  </si>
  <si>
    <t>Coeff K2O</t>
  </si>
  <si>
    <t>Coefficients retenus</t>
  </si>
  <si>
    <t>Valeurs observées</t>
  </si>
  <si>
    <t>Production laitière</t>
  </si>
  <si>
    <t>Durée pâturage</t>
  </si>
  <si>
    <t>4-7</t>
  </si>
  <si>
    <t>6000-8000</t>
  </si>
  <si>
    <t>ha SPE</t>
  </si>
  <si>
    <t>(SPE = Surface Potentiellement Epandable)</t>
  </si>
  <si>
    <t>SPE</t>
  </si>
  <si>
    <t>Azote (kg/ha SPE)</t>
  </si>
  <si>
    <t>P2O5 (kg/ha SPE)</t>
  </si>
  <si>
    <t>Pression maximale de phosphore en fonction du % d'herbe dans la SPE</t>
  </si>
  <si>
    <t>SAMO ou SRD</t>
  </si>
  <si>
    <t>Période de pâturage à l'herbe seule ------&gt;</t>
  </si>
  <si>
    <t>Surface pâturée</t>
  </si>
  <si>
    <t>● Nombre d'animaux produits par an</t>
  </si>
  <si>
    <t>Apports de N, P et K prévisibles (par ha)</t>
  </si>
  <si>
    <t>3. Fertilisation prévisionnelle</t>
  </si>
  <si>
    <t>● Digesta de méthanisation</t>
  </si>
  <si>
    <t>Contrôle de la somme des surfaces par rapport à la SAU</t>
  </si>
  <si>
    <t>Nature de l'effluent importé :</t>
  </si>
  <si>
    <t>● Boues d'épuration -------------------------------------------------</t>
  </si>
  <si>
    <t>● Boues d'épuration</t>
  </si>
  <si>
    <t>● Digesta de méthanisation --------------------------------</t>
  </si>
  <si>
    <t>Liquides</t>
  </si>
  <si>
    <t>Solides</t>
  </si>
  <si>
    <t>Pâteuses</t>
  </si>
  <si>
    <t xml:space="preserve">   % des cultures annuelles</t>
  </si>
  <si>
    <t xml:space="preserve">    ha</t>
  </si>
  <si>
    <t>● maïs &amp; sorgho ensilages, betterave fourrag.</t>
  </si>
  <si>
    <t>% de la SAU nette</t>
  </si>
  <si>
    <t>ha occupant ………..</t>
  </si>
  <si>
    <t>ha SFP occupant …</t>
  </si>
  <si>
    <t>Maïs &amp; sorgho ensilages, betterave fourrag.</t>
  </si>
  <si>
    <t>Production totale du troupeau</t>
  </si>
  <si>
    <t>Quantité de concentré moyenne par vache (kg/an)</t>
  </si>
  <si>
    <t>(kg de la naissance au vélage)</t>
  </si>
  <si>
    <t>● Quantité de concentrés</t>
  </si>
  <si>
    <t>- par vache allaitante et par an (kg)</t>
  </si>
  <si>
    <t>Quantités de concentrés</t>
  </si>
  <si>
    <t>Surface en CIPAN</t>
  </si>
  <si>
    <t xml:space="preserve">   % de la SAU nette</t>
  </si>
  <si>
    <t>Azote (kg/ha prairies)</t>
  </si>
  <si>
    <t>P2O5 (kg/ha prairies)</t>
  </si>
  <si>
    <t>Prairies</t>
  </si>
  <si>
    <t>Moyenne SFP</t>
  </si>
  <si>
    <t>Besoins par UGB</t>
  </si>
  <si>
    <t>pas de correction à apporter</t>
  </si>
  <si>
    <t>pour le troupeau (achats, productions suppl.)</t>
  </si>
  <si>
    <t>T</t>
  </si>
  <si>
    <t>Luzerne</t>
  </si>
  <si>
    <t>Trèfle violet</t>
  </si>
  <si>
    <t>4. Importances respectives des différents apports d'azote organique</t>
  </si>
  <si>
    <t>N en % des besoins</t>
  </si>
  <si>
    <t>Fourniture par le fertilisation organique</t>
  </si>
  <si>
    <t>2.3. Apport d'azote d'origine atmosphérique</t>
  </si>
  <si>
    <t>2.4. Apport d'azote d'origine atmosphérique</t>
  </si>
  <si>
    <t>● Apports prévisibles 2.1.+2.2.+2.3.</t>
  </si>
  <si>
    <t>● Apports prévisibles 2.1.+2.2.+2.3.+2.4.</t>
  </si>
  <si>
    <t>Fourniture de N par le sol et l'atmosphère</t>
  </si>
  <si>
    <t>Fourniture par l'engrais minéral complémentaire de l'organique</t>
  </si>
  <si>
    <t>● céréales de vente</t>
  </si>
  <si>
    <r>
      <t>●</t>
    </r>
    <r>
      <rPr>
        <sz val="10"/>
        <rFont val="Arial"/>
        <family val="2"/>
      </rPr>
      <t xml:space="preserve"> betteraves sucrières</t>
    </r>
  </si>
  <si>
    <t>● autres cultures de vente, dont colza</t>
  </si>
  <si>
    <t>● Total des cultures autoconsommées</t>
  </si>
  <si>
    <t>● maïs grain de vente</t>
  </si>
  <si>
    <t>● protéagineux de vente</t>
  </si>
  <si>
    <t>Rejets par an et par UGB bovins</t>
  </si>
  <si>
    <t>La fraction maîtrisable est celle qui est stockée et épandable.                                                                                 La fraction non maîtrisable est celle qui est rejetée directement au pâturage par les animaux</t>
  </si>
  <si>
    <t xml:space="preserve"> : le risque de lessivage de l'azote devient trop élevé</t>
  </si>
  <si>
    <t>Céréales d'hiver: 60-80</t>
  </si>
  <si>
    <t>Betteraves: 120-150</t>
  </si>
  <si>
    <t>Colza: 80-100</t>
  </si>
  <si>
    <t>Maïs: 100-120</t>
  </si>
  <si>
    <t>Prairies permanentes: 80-120</t>
  </si>
  <si>
    <t>Prairies temporaires: 100-150</t>
  </si>
  <si>
    <t>% des besoins initiaux</t>
  </si>
  <si>
    <t>% des besoins corrigés</t>
  </si>
  <si>
    <t>4. Importance respective des différents apports d'azote organique</t>
  </si>
  <si>
    <t>Temps passé depuis retournement</t>
  </si>
  <si>
    <t>Pour la SFP</t>
  </si>
  <si>
    <t>Ilot</t>
  </si>
  <si>
    <t>Fertilisation organique (kg/ha)</t>
  </si>
  <si>
    <t>Fertilisation minérale (kg/ha)</t>
  </si>
  <si>
    <t>(ha)</t>
  </si>
  <si>
    <t>Pour les cultures de vente</t>
  </si>
  <si>
    <t>Récapitulation Cultures de vente</t>
  </si>
  <si>
    <t>SAU (ha)</t>
  </si>
  <si>
    <t>Cultures de vente</t>
  </si>
  <si>
    <t>% SAU</t>
  </si>
  <si>
    <t>% SFPc</t>
  </si>
  <si>
    <t>Vache  laitière</t>
  </si>
  <si>
    <t>Vache allaitante</t>
  </si>
  <si>
    <t>Elèves et engraissement</t>
  </si>
  <si>
    <t>UGB totaux</t>
  </si>
  <si>
    <t>(0.3 à 1.0)</t>
  </si>
  <si>
    <t>(1.0 à 2.0)</t>
  </si>
  <si>
    <t>Lactation moyenne (kg/an)</t>
  </si>
  <si>
    <t>Lait par ha de SAU (kg/an)</t>
  </si>
  <si>
    <t>Concentrés / vache</t>
  </si>
  <si>
    <t xml:space="preserve">      EXAMEN  DES  RESULTATS   ET  REPERES  D’EVALUATION                                                                                                                                                                                                      </t>
  </si>
  <si>
    <t>1,60- 1,80</t>
  </si>
  <si>
    <t>1,40- 1,60</t>
  </si>
  <si>
    <t>1,20- 1,40</t>
  </si>
  <si>
    <t xml:space="preserve"> 0,80- 1,15</t>
  </si>
  <si>
    <t>Système</t>
  </si>
  <si>
    <t>% maïs/betteraves</t>
  </si>
  <si>
    <t>Intensif</t>
  </si>
  <si>
    <t>Intermédiaire</t>
  </si>
  <si>
    <t>Herbager</t>
  </si>
  <si>
    <t>Tout herbe</t>
  </si>
  <si>
    <t>&gt; 40 %</t>
  </si>
  <si>
    <t>30-40 %</t>
  </si>
  <si>
    <t>20-30 %</t>
  </si>
  <si>
    <t>5-15 %</t>
  </si>
  <si>
    <t>0-5 %</t>
  </si>
  <si>
    <t>Conduite des Chargements et Risques de Lessivage de N au Pâturage</t>
  </si>
  <si>
    <t>Pressions Organiques (kg/ha)</t>
  </si>
  <si>
    <t>Prairies Elevage/Engraissement</t>
  </si>
  <si>
    <t>AZOTE</t>
  </si>
  <si>
    <t>Surface Potentielle d’Epandage</t>
  </si>
  <si>
    <t>Apports des prairies</t>
  </si>
  <si>
    <t>% des UF produits</t>
  </si>
  <si>
    <t>% de N produit</t>
  </si>
  <si>
    <t>Place des Prairies</t>
  </si>
  <si>
    <t>- Fourrages</t>
  </si>
  <si>
    <t>Récapitulation des achats de Concentré</t>
  </si>
  <si>
    <t>- Influence des Concentrés+ divers Fourrages sur la dépendance alimentaire :</t>
  </si>
  <si>
    <t>UF totales/UGB</t>
  </si>
  <si>
    <t>kg par VL par an</t>
  </si>
  <si>
    <t>g par kg lait</t>
  </si>
  <si>
    <t>Concentrés / kg lait</t>
  </si>
  <si>
    <t>VL</t>
  </si>
  <si>
    <t>VAL</t>
  </si>
  <si>
    <t>Réformes type viande</t>
  </si>
  <si>
    <t>Réformes type lait</t>
  </si>
  <si>
    <t>Nbre</t>
  </si>
  <si>
    <t>Concentré/animal</t>
  </si>
  <si>
    <t>Prairies Vaches Laitières</t>
  </si>
  <si>
    <t>Prairies Vaches Allaitantes</t>
  </si>
  <si>
    <t>dans la SAU nette</t>
  </si>
  <si>
    <t>● maïs ou sorgho</t>
  </si>
  <si>
    <t>● graminées</t>
  </si>
  <si>
    <t>Nature</t>
  </si>
  <si>
    <t>Achats de concentrés</t>
  </si>
  <si>
    <t>- vaches laitières</t>
  </si>
  <si>
    <t>- vaches allaitantes</t>
  </si>
  <si>
    <t>Foin</t>
  </si>
  <si>
    <t>Ensilage maïs</t>
  </si>
  <si>
    <t>Betteraves</t>
  </si>
  <si>
    <t>Pulpes sèches</t>
  </si>
  <si>
    <t>Drèches</t>
  </si>
  <si>
    <t>Graminées deshyd.</t>
  </si>
  <si>
    <t>UF/T MS</t>
  </si>
  <si>
    <t>N (kg/T MS)</t>
  </si>
  <si>
    <t>Maïs deshydratée</t>
  </si>
  <si>
    <t>Luzerne deshydrat.</t>
  </si>
  <si>
    <t>Paille utilitaire</t>
  </si>
  <si>
    <t>Paille traitée</t>
  </si>
  <si>
    <t>Soja 46</t>
  </si>
  <si>
    <t>Soja 48</t>
  </si>
  <si>
    <t>Soja 50</t>
  </si>
  <si>
    <t>Tourteau Colza</t>
  </si>
  <si>
    <t>Tourteau Lin</t>
  </si>
  <si>
    <t>Tourteau Arachide</t>
  </si>
  <si>
    <t>VL 22</t>
  </si>
  <si>
    <t>VL 18</t>
  </si>
  <si>
    <t>Céréales</t>
  </si>
  <si>
    <t>Conc. 18% MAT</t>
  </si>
  <si>
    <t>Conc. 16% MAT</t>
  </si>
  <si>
    <t>Conc. 12% MAT</t>
  </si>
  <si>
    <t>MS Totale (T)</t>
  </si>
  <si>
    <t>UF totaux</t>
  </si>
  <si>
    <t>N total (kg)</t>
  </si>
  <si>
    <t>UF achetées/ UGB</t>
  </si>
  <si>
    <t>MS achetée (T/UGB)</t>
  </si>
  <si>
    <t>MS produite (T/UGB)</t>
  </si>
  <si>
    <t>UF produites / UGB</t>
  </si>
  <si>
    <t>N produit (kg/UGB)</t>
  </si>
  <si>
    <t>MS totale (T/UGB)</t>
  </si>
  <si>
    <t>Quantités totales achetées</t>
  </si>
  <si>
    <t>Descriptif Ilot</t>
  </si>
  <si>
    <t>Arrière-effets du retournement des prairies au printemps (Kg N / ha)</t>
  </si>
  <si>
    <t>Arrière-effets du retournement des prairies à l'automne (Kg N / ha)</t>
  </si>
  <si>
    <t>Correction totale à apporter si déficit</t>
  </si>
  <si>
    <t>Paille non traitée</t>
  </si>
  <si>
    <t>Période 3 (fin été-automne)</t>
  </si>
  <si>
    <t>● Période 3 (été/automne, après dernière coupe)</t>
  </si>
  <si>
    <t>● Période 2 (été, après première coupe)</t>
  </si>
  <si>
    <t>● Période 3 (fin été / automne)</t>
  </si>
  <si>
    <t>Quand la prairie a-t-elle été retournée ?</t>
  </si>
  <si>
    <t>Printemps</t>
  </si>
  <si>
    <t>Automne</t>
  </si>
  <si>
    <t>- SFP</t>
  </si>
  <si>
    <t>- SFPc</t>
  </si>
  <si>
    <t>UGB totales/ha</t>
  </si>
  <si>
    <t>Chargements</t>
  </si>
  <si>
    <t>Maïs/Betterave/Sorgho fourrage</t>
  </si>
  <si>
    <t>chargement UGB / ha SFP</t>
  </si>
  <si>
    <t>&gt; 20 %</t>
  </si>
  <si>
    <t>15-20 %</t>
  </si>
  <si>
    <t>10-15 %</t>
  </si>
  <si>
    <t>&lt; 10 %</t>
  </si>
  <si>
    <t>&gt; 2.0</t>
  </si>
  <si>
    <t>1,20- 1,60</t>
  </si>
  <si>
    <t>0.80- 1,20</t>
  </si>
  <si>
    <t>0,50- 0,80</t>
  </si>
  <si>
    <t>Lait brut étable (kg/an)</t>
  </si>
  <si>
    <t>kg de poids vif / ha SAU</t>
  </si>
  <si>
    <t>Achats de fourrages et pailles</t>
  </si>
  <si>
    <t>Tourteau Tournesol</t>
  </si>
  <si>
    <t xml:space="preserve">Achats de pailles et de fourrages </t>
  </si>
  <si>
    <t>Total Fourrages + Pailles achetés</t>
  </si>
  <si>
    <t>Quantité totale de Concentrés achetée</t>
  </si>
  <si>
    <t>UF concent. vache achetées (% besoins UF vaches)</t>
  </si>
  <si>
    <t>N concent. vache achetés (% besoins N vaches)</t>
  </si>
  <si>
    <t>Lait dû aux concentrés</t>
  </si>
  <si>
    <t>Lait dû aux fourrages</t>
  </si>
  <si>
    <t>kg</t>
  </si>
  <si>
    <t>Poids moyen des génisses au vélage</t>
  </si>
  <si>
    <t>Poids moyen</t>
  </si>
  <si>
    <r>
      <t>●</t>
    </r>
    <r>
      <rPr>
        <sz val="10"/>
        <rFont val="Arial"/>
        <family val="2"/>
      </rPr>
      <t xml:space="preserve"> Taurillons race laitière (sevrage-18 mois)</t>
    </r>
  </si>
  <si>
    <t>Autres fourrages</t>
  </si>
  <si>
    <t>Pressions organiques par ha</t>
  </si>
  <si>
    <t>Lait par ha de SFPc (kg/an)</t>
  </si>
  <si>
    <t>kg de poids vif / ha SFPc</t>
  </si>
  <si>
    <t>* 28 mois</t>
  </si>
  <si>
    <t>* 30 mois</t>
  </si>
  <si>
    <t>* 33 mois</t>
  </si>
  <si>
    <t>* 36 mois</t>
  </si>
  <si>
    <t>Poids moyen à la vente</t>
  </si>
  <si>
    <t>kg/ UGB totaux</t>
  </si>
  <si>
    <t>Vaches seules</t>
  </si>
  <si>
    <t>UGB/ha SFPc</t>
  </si>
  <si>
    <t>Pression N kg / ha</t>
  </si>
  <si>
    <t>Pression P2O5 kg / ha</t>
  </si>
  <si>
    <t>MS T / ha SFPc</t>
  </si>
  <si>
    <t>N  kg / ha SFPc</t>
  </si>
  <si>
    <t>UF / ha SFPc</t>
  </si>
  <si>
    <t>- N, kg</t>
  </si>
  <si>
    <t>- P (P2O5), kg</t>
  </si>
  <si>
    <t>- K (K2O), kg</t>
  </si>
  <si>
    <t>Jachère/Réserve</t>
  </si>
  <si>
    <t>kg / ha SFPc</t>
  </si>
  <si>
    <t>Qté Concentré</t>
  </si>
  <si>
    <t>(kg brut)</t>
  </si>
  <si>
    <t>Récapitulation de la fertilisation équilibrée, par ilots: Total SAU</t>
  </si>
  <si>
    <t>Croissance-Engraissement</t>
  </si>
  <si>
    <t>Croissance - Engraissement</t>
  </si>
  <si>
    <t>EN: Animaux en croissance-engraissement (hors atelier veaux de boucherie)</t>
  </si>
  <si>
    <t>VL 40</t>
  </si>
  <si>
    <t>- animaux en</t>
  </si>
  <si>
    <t xml:space="preserve">  croissance-engraissement</t>
  </si>
  <si>
    <t>Concentrés</t>
  </si>
  <si>
    <t>- Herbe</t>
  </si>
  <si>
    <t>Vaches par ha</t>
  </si>
  <si>
    <t>HS: Autres élevages dont hors sol seuls ou associés à un élevage bovin</t>
  </si>
  <si>
    <t>Total Autres élevages</t>
  </si>
  <si>
    <t>● Autres élevages</t>
  </si>
  <si>
    <t>Part du Hors-Sol</t>
  </si>
  <si>
    <t>Surface en CIPAN + prairies</t>
  </si>
  <si>
    <t>● ens. herbe 50% + ens. maïs 50%
   ou Mash  ou  Luzerne+Maïs</t>
  </si>
  <si>
    <t xml:space="preserve">   - mâles vendus à :</t>
  </si>
  <si>
    <t xml:space="preserve">   - génisses vendues à :</t>
  </si>
  <si>
    <t>● Poules pondeuses (œufs), séchage hangar</t>
  </si>
  <si>
    <t>● Poules pondeuses (œufs), séchoir</t>
  </si>
  <si>
    <t>● Poules pondeuses bio (œufs) au sol</t>
  </si>
  <si>
    <t>● Poules pondeuses bio (œufs) label plein air</t>
  </si>
  <si>
    <t>● Poules reproductrices standard chair</t>
  </si>
  <si>
    <t>● Poules reproductrices label chair</t>
  </si>
  <si>
    <t>● Canettes (barbarie + pékin)</t>
  </si>
  <si>
    <t>● Canards barbarie "sexes mélangés"</t>
  </si>
  <si>
    <t>● Oies reproductrices</t>
  </si>
  <si>
    <t>● Canards mulards prêts à gaver</t>
  </si>
  <si>
    <t>● Dindes de chair découpe mâle</t>
  </si>
  <si>
    <t>● Dindes de chair découpe femelle</t>
  </si>
  <si>
    <t>+ veaux</t>
  </si>
  <si>
    <t>% des besoins en UF du troupeau</t>
  </si>
  <si>
    <t>% des besoins en N du troupeau</t>
  </si>
  <si>
    <t>N total acheté</t>
  </si>
  <si>
    <t>des besoins du troupeau</t>
  </si>
  <si>
    <t>(format moyen pour les animaux laitiers)</t>
  </si>
  <si>
    <t>● ensilage herbe ou/et foin</t>
  </si>
  <si>
    <t>● ensilage maïs (+ foin limité)</t>
  </si>
  <si>
    <t>Chargement (VAL/ha pâturés)</t>
  </si>
  <si>
    <t>Prairies pérennes : 120-150</t>
  </si>
  <si>
    <t>jusqu'à 150 kg d'azote brut à l'ha sous forme de lisiers bovins ou porcins</t>
  </si>
  <si>
    <t>Les prairies temporaires, de longue durée et permanentes, peuvent recevoir</t>
  </si>
  <si>
    <t>(SFPc = SFP + cultures autoconsommées)</t>
  </si>
  <si>
    <t>Toutes prairies</t>
  </si>
  <si>
    <t>Couverture hivernale</t>
  </si>
  <si>
    <t>achetés</t>
  </si>
  <si>
    <t>Achetés</t>
  </si>
  <si>
    <t>Correctif Vendus</t>
  </si>
  <si>
    <t>Correctif vendus</t>
  </si>
  <si>
    <t>● Taurillons race à viande (sevrage-18 mois)</t>
  </si>
  <si>
    <r>
      <t xml:space="preserve">  -</t>
    </r>
    <r>
      <rPr>
        <sz val="10"/>
        <rFont val="Arial"/>
        <family val="2"/>
      </rPr>
      <t xml:space="preserve"> mâles année 3 vendus à 28, 30, 33 ou 36 mois: maïs ou herbe?</t>
    </r>
  </si>
  <si>
    <t>Génisses troupeau allaitant</t>
  </si>
  <si>
    <t xml:space="preserve"> si complémentation maïs</t>
  </si>
  <si>
    <t>si pas complémentation maïs</t>
  </si>
  <si>
    <t>(mg/kg terre)</t>
  </si>
  <si>
    <t>Laitier</t>
  </si>
  <si>
    <t>- troupeau laitier</t>
  </si>
  <si>
    <t>- troupeau allaitant</t>
  </si>
  <si>
    <t>Kg de poids vif produit par UGB</t>
  </si>
  <si>
    <t>Kg de poids vif produit par vache</t>
  </si>
  <si>
    <t>Concentré par kg pds vif produit</t>
  </si>
  <si>
    <t>UGB lait</t>
  </si>
  <si>
    <t>Taux de renouvellement des VL</t>
  </si>
  <si>
    <t>Taux de renouvellement des VAL</t>
  </si>
  <si>
    <t>UGB allaitantes</t>
  </si>
  <si>
    <t>MS produite / UGB</t>
  </si>
  <si>
    <t>% autonomie MS</t>
  </si>
  <si>
    <t>% autonomie UF</t>
  </si>
  <si>
    <t>% autonomie N</t>
  </si>
  <si>
    <t>● toutes prairies pâturées ou récoltées y compris</t>
  </si>
  <si>
    <t xml:space="preserve">  associations TB, TV ou autres légumineuses</t>
  </si>
  <si>
    <t xml:space="preserve"> les autres bovins, croissance et engraissement</t>
  </si>
  <si>
    <t>Nombres d'animaux</t>
  </si>
  <si>
    <t>Total UGB lait</t>
  </si>
  <si>
    <t>Total UGB allaitantes</t>
  </si>
  <si>
    <t>laitier</t>
  </si>
  <si>
    <t>troupeau</t>
  </si>
  <si>
    <t>allaitant</t>
  </si>
  <si>
    <t>UGB croissance et engraissement</t>
  </si>
  <si>
    <t>dont à</t>
  </si>
  <si>
    <t>Format allaitant</t>
  </si>
  <si>
    <t>Fertilisation organique (kg)</t>
  </si>
  <si>
    <t>Fertilisation minérale (kg)</t>
  </si>
  <si>
    <t>Fertilisation organique</t>
  </si>
  <si>
    <t>Fertilisation minérale</t>
  </si>
  <si>
    <t>Kg / ha</t>
  </si>
  <si>
    <t>Total troupeau</t>
  </si>
  <si>
    <t>Récapitulatif des concentrés utilisés</t>
  </si>
  <si>
    <t>- élevage des génisses</t>
  </si>
  <si>
    <t>- broutards, broutardes</t>
  </si>
  <si>
    <t>T MS / an</t>
  </si>
  <si>
    <t>- taurillons laitiers</t>
  </si>
  <si>
    <t>- taurillons issus allaitants</t>
  </si>
  <si>
    <t>Les achats de paille pour les litières ne sont pas comptabilisés ici</t>
  </si>
  <si>
    <t>- Pailles alimentaires</t>
  </si>
  <si>
    <t>Total général _______________________________________________</t>
  </si>
  <si>
    <t>UF totales achetées</t>
  </si>
  <si>
    <t>** dont broutardes vendues à 8-9 mois</t>
  </si>
  <si>
    <t>Effectifs vendus</t>
  </si>
  <si>
    <t>Productions bovines + hors sol</t>
  </si>
  <si>
    <t>Productions bovines</t>
  </si>
  <si>
    <t xml:space="preserve">soit : </t>
  </si>
  <si>
    <t xml:space="preserve">  sans les taurillons</t>
  </si>
  <si>
    <t>Ne pas apporter de complément phosphoré; diminuer les quantités épandues</t>
  </si>
  <si>
    <t>NPK Organiques</t>
  </si>
  <si>
    <t>Achats</t>
  </si>
  <si>
    <t>VLPartPaturage</t>
  </si>
  <si>
    <t xml:space="preserve">   - mâles an 1</t>
  </si>
  <si>
    <t>P2O5 (Kg/T MS)</t>
  </si>
  <si>
    <t>P2O5 (kg/T MS)</t>
  </si>
  <si>
    <t>P2O5 total (kg)</t>
  </si>
  <si>
    <t>UF achetées / UGB</t>
  </si>
  <si>
    <t>N acheté (kg/UGB)</t>
  </si>
  <si>
    <t>(kg par animal produit par an)</t>
  </si>
  <si>
    <t xml:space="preserve"> Dont</t>
  </si>
  <si>
    <t>● Taurillons</t>
  </si>
  <si>
    <t>AEN: Séquences alimentaires: ANIMAUX EN ENGRAISSEMENT - FINITION</t>
  </si>
  <si>
    <t>** dont futurs taurillons _______________________</t>
  </si>
  <si>
    <t xml:space="preserve"> ________________</t>
  </si>
  <si>
    <t>Ensilage de maïs</t>
  </si>
  <si>
    <t>Bilagreau Résultats</t>
  </si>
  <si>
    <t>Poids vif moyen à la vente</t>
  </si>
  <si>
    <t>Total des génisses du troupeau laitier au vélage</t>
  </si>
  <si>
    <t>Total des génisses vendues à 8_9 mois</t>
  </si>
  <si>
    <t>Total des génisses du troupeau allaitant au vélage</t>
  </si>
  <si>
    <t>Total des mâles vendus à 8-9 mois</t>
  </si>
  <si>
    <t>Total des mâles 28 mois</t>
  </si>
  <si>
    <t>Total des mâles 30 mois</t>
  </si>
  <si>
    <t>Total des mâles 33 mois</t>
  </si>
  <si>
    <t>Total des mâles 36 mois</t>
  </si>
  <si>
    <t>Total des génisses 28 mois</t>
  </si>
  <si>
    <t>Total des génisses 30 mois</t>
  </si>
  <si>
    <t>Total des génisses 33 mois</t>
  </si>
  <si>
    <t>Total des réformes viandes</t>
  </si>
  <si>
    <t>Total des réformes lait</t>
  </si>
  <si>
    <t>Taurillons viande</t>
  </si>
  <si>
    <t>Taurillons lait</t>
  </si>
  <si>
    <t>Gain de poids</t>
  </si>
  <si>
    <t>Production de poids vif (kg)</t>
  </si>
  <si>
    <t>Gain de poids vif (kg)</t>
  </si>
  <si>
    <t>Concentré par kg de gain de poids</t>
  </si>
  <si>
    <t>N total (kg/UGB)</t>
  </si>
  <si>
    <t>● vaches présentes avec ou sans veau (année)</t>
  </si>
  <si>
    <t>Cas des autres bovins, élevage et engraissement (hors taurillons)</t>
  </si>
  <si>
    <t>taurillons race à viande</t>
  </si>
  <si>
    <t>- par génisse élevée (kg du sevrage au vélage)</t>
  </si>
  <si>
    <t>Lait fourrages seuls, % lait total</t>
  </si>
  <si>
    <t>Pds vif produit /UGB troupeau allaitant</t>
  </si>
  <si>
    <t>dont autoproduit</t>
  </si>
  <si>
    <t>Achats de concentrés complémentaires</t>
  </si>
  <si>
    <t>- pour la MS achetée</t>
  </si>
  <si>
    <t>- pour l'azote acheté</t>
  </si>
  <si>
    <t>SFPc (c=autoproduit et consommé)</t>
  </si>
  <si>
    <t>Recommandations de choix des doses brutes N (kg/ha)</t>
  </si>
  <si>
    <t>Organique/Minéral, %</t>
  </si>
  <si>
    <t>Organique / Engrais NPK totaux, %</t>
  </si>
  <si>
    <t>- pour les UF achetées</t>
  </si>
  <si>
    <t>Poids vif produit</t>
  </si>
  <si>
    <t>Fourniture par la fertilisation organique</t>
  </si>
  <si>
    <t>● Production totale de poids vif brut des animaux en engraissement vendus (kg/an) ________________________________________</t>
  </si>
  <si>
    <t>● Production totale de poids vif brut, élevage et engraissement (kg/an) ___________________________________________________</t>
  </si>
  <si>
    <t>Broutardes non vendus</t>
  </si>
  <si>
    <t>Broutardes vendues</t>
  </si>
  <si>
    <t>Broutards non vendus</t>
  </si>
  <si>
    <t>Broutards vendus</t>
  </si>
  <si>
    <t>Production fourragère de la SFPc</t>
  </si>
  <si>
    <t>Cultures fourragères (+ cultures dérobées)</t>
  </si>
  <si>
    <t>- troup. allaitant (ou taurillons seuls)</t>
  </si>
  <si>
    <t>kg PV vendu / ha SFPc</t>
  </si>
  <si>
    <t>kg PV vendu / ha SAU</t>
  </si>
  <si>
    <t>N acheté  (kg/UGB)</t>
  </si>
  <si>
    <t>SA: Surfaces de l'exploitation</t>
  </si>
  <si>
    <t>(format moyen pour les laitiers)</t>
  </si>
  <si>
    <t>Programme BILAGREAU</t>
  </si>
  <si>
    <t>Outil de diagnostic et de prévisions</t>
  </si>
  <si>
    <t>Sommaire</t>
  </si>
  <si>
    <t>Saisies des paramètres de l'exploitation</t>
  </si>
  <si>
    <t>Module 2 - Valeurs NPK des UGB, chargements et seuils critiques.</t>
  </si>
  <si>
    <t>Module 6 - Plan de fumure des cultures fourragères et de vente</t>
  </si>
  <si>
    <t>Module 7 - Approche de l’autonomie fourragère et achats</t>
  </si>
  <si>
    <t>Module 8 - Examen des résultats et repères d’évaluation.</t>
  </si>
  <si>
    <t>Auteurs</t>
  </si>
  <si>
    <t>M. BONNEAU - UMR Pegase 1348 - Rennes, Bretagne et Basse-Normandie</t>
  </si>
  <si>
    <t>Personnes conseils et ressources</t>
  </si>
  <si>
    <t>J. AGABRIEL – UMR Herbivores 1219 – Clermont-Ferrand-Theix</t>
  </si>
  <si>
    <t>P. AUROUSSEAU – AgrocampusOuest, Rennes</t>
  </si>
  <si>
    <t>D. MICOL – UMR Herbivores 1219 – Clermont-Ferrand-Theix</t>
  </si>
  <si>
    <t>T. MORVAN – UMR Sas 1069 – Rennes, Bretagne et Basse-Normandie</t>
  </si>
  <si>
    <t>D. POULAIN – AgrocampusOuest, Rennes</t>
  </si>
  <si>
    <t>F. VERTES - UMR Sas 1069 – Rennes, Bretagne et Basse-Normandie</t>
  </si>
  <si>
    <t>Programme engregistré à l'Agence de Protection des Programmes sous le numéro 
"IDDN.PR.001 280039 000 RP.2013.000.30100" le 12.07.2013</t>
  </si>
  <si>
    <t>L. DELABY - UMR Pegase 1348 - Rennes, Bretagne et Basse-Normandie</t>
  </si>
  <si>
    <t>R. GIOVANNI - UMR ESE 985 - Rennes, Bretagne et Basse-Normandie</t>
  </si>
  <si>
    <t>P. ROBIN - UMR SAS 1069 - Rennes, Bretagne et Basse-Normandie</t>
  </si>
  <si>
    <t>Saisies_Exploitation</t>
  </si>
  <si>
    <t>NPK_Organiques</t>
  </si>
  <si>
    <t>Pressions_Prairies</t>
  </si>
  <si>
    <t>Ferti_Prairies</t>
  </si>
  <si>
    <t>Ferti_Cultures</t>
  </si>
  <si>
    <t>Resultats</t>
  </si>
  <si>
    <t>Ferti_SAU</t>
  </si>
  <si>
    <t>&amp;</t>
  </si>
  <si>
    <t>Plan-Epandage</t>
  </si>
  <si>
    <t>.</t>
  </si>
  <si>
    <t>Références CORPEN 2014</t>
  </si>
  <si>
    <t>● Dindes à rôtir Label</t>
  </si>
  <si>
    <t>● Poulet lourd et poulet certifié</t>
  </si>
  <si>
    <t>% pertes</t>
  </si>
  <si>
    <t>Non corrigé</t>
  </si>
  <si>
    <t>MS (corrigée des pertes)</t>
  </si>
  <si>
    <t>Corrigés des pertes</t>
  </si>
  <si>
    <t>T MS (corrigées des pertes)</t>
  </si>
  <si>
    <t>Correction des pertes</t>
  </si>
  <si>
    <t xml:space="preserve">  - race à viande, sevrage -&gt; 18 mois, 290kg -&gt; poids vente</t>
  </si>
  <si>
    <t xml:space="preserve">  - race laitière, sevrage -&gt; 18 mois, 100kg -&gt; poids vente</t>
  </si>
  <si>
    <t>Apports de MS</t>
  </si>
  <si>
    <t>AEN_ConVouL</t>
  </si>
  <si>
    <t>AEN_ConVouV</t>
  </si>
  <si>
    <t>Retenu</t>
  </si>
  <si>
    <t>MS standard Viande</t>
  </si>
  <si>
    <t>MS standard Lait</t>
  </si>
  <si>
    <t>&lt;-- Connaissez-vous les apports de MS pour taurillons type lait   1=OUI   2=NON</t>
  </si>
  <si>
    <t>&lt;-- Connaissez-vous les apports de MS pour taurillons type viande   1=OUI   2=NON</t>
  </si>
  <si>
    <t>Besoins standard des taurillons en engraissement</t>
  </si>
  <si>
    <t>Composition des ensilages par kg de MS</t>
  </si>
  <si>
    <t>UF/kgMS</t>
  </si>
  <si>
    <t>N/kgMS</t>
  </si>
  <si>
    <t>P2O5/kgMS</t>
  </si>
  <si>
    <t>● Dindes à rôtir Bio</t>
  </si>
  <si>
    <t>● Dindes lourdes</t>
  </si>
  <si>
    <t>● Dindes à rôtir standard</t>
  </si>
  <si>
    <t>● Oies futures reproductrices chair</t>
  </si>
  <si>
    <t>● Oies futures reproductrices gras</t>
  </si>
  <si>
    <t>Surface Amendée en Matières Organiques (SAMO)</t>
  </si>
  <si>
    <t>ha SAMO</t>
  </si>
  <si>
    <t>- dont prairies permanentes</t>
  </si>
  <si>
    <r>
      <t xml:space="preserve">● autres fourrages annuels non dérobés
</t>
    </r>
    <r>
      <rPr>
        <i/>
        <sz val="10"/>
        <rFont val="Arial"/>
        <family val="2"/>
      </rPr>
      <t xml:space="preserve">   (Les fourrages dérobés seront pris en 
     compte dans le bilan d'autonomie)</t>
    </r>
  </si>
  <si>
    <t>● total génisses de renouvellement ayant vélé</t>
  </si>
  <si>
    <t>Taux de renouvellement</t>
  </si>
  <si>
    <t>● vaches laitières présentes en production</t>
  </si>
  <si>
    <t>** dont repoussés vendus fin hiver</t>
  </si>
  <si>
    <t>Poids moyen des</t>
  </si>
  <si>
    <t>repoussés à la vente</t>
  </si>
  <si>
    <t>Poids repoussés</t>
  </si>
  <si>
    <t>Ares/vache</t>
  </si>
  <si>
    <t>ares/vache</t>
  </si>
  <si>
    <t>Azote (kg/ha SAMO)</t>
  </si>
  <si>
    <t>P2O5 (kg/ha SAMO)</t>
  </si>
  <si>
    <t>Entrer le descriptif de l'îlot et sa surface</t>
  </si>
  <si>
    <t>Puis allez sur Ferti_Prairies</t>
  </si>
  <si>
    <t>Puis allez sur Ferti_Cultures</t>
  </si>
  <si>
    <t>(corrigée des pertes)</t>
  </si>
  <si>
    <t xml:space="preserve">   - taureaux de réforme</t>
  </si>
  <si>
    <t>Coefficient de calcul d'UGB pour taureaux laitiers</t>
  </si>
  <si>
    <t>Coefficient de calcul d'UGB pour taureaux de race viande</t>
  </si>
  <si>
    <t>Taureaux</t>
  </si>
  <si>
    <t>Coeff calcul UGB pour taureaux laitiers</t>
  </si>
  <si>
    <t>Coeff calcul UGB pour taureaux de race à viande</t>
  </si>
  <si>
    <t xml:space="preserve">   - taureaux</t>
  </si>
  <si>
    <t>kg / UGB lait</t>
  </si>
  <si>
    <t>repoussées à la vente</t>
  </si>
  <si>
    <t>Connaissez-vous les apports de MS fourrage ?</t>
  </si>
  <si>
    <t>Apports de MS fourrage</t>
  </si>
  <si>
    <t>kg totaux par animal fini</t>
  </si>
  <si>
    <t>kg de lait à 4% / an</t>
  </si>
  <si>
    <t>kg de lait / an</t>
  </si>
  <si>
    <t>Taux butyreux</t>
  </si>
  <si>
    <t xml:space="preserve">MS utile récoltée/stockée par UGB </t>
  </si>
  <si>
    <t>Production utile de la SFP, par ha</t>
  </si>
  <si>
    <t>Quantité utile produite par UGB</t>
  </si>
  <si>
    <t>dont total utile produit par fourrages riches en azote</t>
  </si>
  <si>
    <t>dont total utile produit par les céréales autoconsommées</t>
  </si>
  <si>
    <t xml:space="preserve">MS totale utile produit par UGB </t>
  </si>
  <si>
    <t>% d'autonomie fourragère</t>
  </si>
  <si>
    <t>dont total utile produit par prairies et fourrages grossiers</t>
  </si>
  <si>
    <t>Correction du déficit du système fourrager en utilisant les réserves fourragères</t>
  </si>
  <si>
    <t>Dans ces conditions les quantités disponibles sont les suivantes</t>
  </si>
  <si>
    <t>Approche du nouveau degré d'autonomie globale</t>
  </si>
  <si>
    <t>Rappel du plan d'épandage</t>
  </si>
  <si>
    <t>Rappel du</t>
  </si>
  <si>
    <t xml:space="preserve">  ● Céréales 1</t>
  </si>
  <si>
    <t xml:space="preserve">  ● Céréales 2</t>
  </si>
  <si>
    <t xml:space="preserve">  ● Maïs</t>
  </si>
  <si>
    <t xml:space="preserve"> plan d'épandage</t>
  </si>
  <si>
    <t>** dont repoussées vendues fin hiver</t>
  </si>
  <si>
    <t xml:space="preserve">  ●  N à exporter par ha </t>
  </si>
  <si>
    <t>Pression maximale phosphore pour les cultures</t>
  </si>
  <si>
    <t>Pression maximale phosphore pour les prairies</t>
  </si>
  <si>
    <t>Coefficients des équations de calcul des besoins des vaches laitières</t>
  </si>
  <si>
    <t>Indicateurs de rejets ou de flux
Kg / UGB</t>
  </si>
  <si>
    <t>UGB totaux exploitation</t>
  </si>
  <si>
    <t xml:space="preserve">Total UGB Troupeau bovin </t>
  </si>
  <si>
    <t>UGB lait % UGB troupeau laitier</t>
  </si>
  <si>
    <t>UGB viande % UGB troupeau allaitant</t>
  </si>
  <si>
    <t>Productions Fourragères</t>
  </si>
  <si>
    <t>Productions Animales</t>
  </si>
  <si>
    <t>Autonomie alimentaire</t>
  </si>
  <si>
    <t>Affectable au lait</t>
  </si>
  <si>
    <t>Affectable à la viande</t>
  </si>
  <si>
    <t>Flux NPK organiques</t>
  </si>
  <si>
    <t>Kg /tonne lait</t>
  </si>
  <si>
    <t>Kg / tonne viande vive</t>
  </si>
  <si>
    <t>SAMO</t>
  </si>
  <si>
    <t>&gt; 1,80</t>
  </si>
  <si>
    <t>3 – La Production des Troupeaux laitier et allaitant.</t>
  </si>
  <si>
    <t>Lait Kg / 1000 UFL</t>
  </si>
  <si>
    <t>N Lait / N alimentaire</t>
  </si>
  <si>
    <t>Flux d'azote sur prairies (kg / ha)</t>
  </si>
  <si>
    <t>N fourrages produits, % N total utilisé</t>
  </si>
  <si>
    <t>MS utile fourrages produits, % MS utile totale utilisée</t>
  </si>
  <si>
    <t>UF fourrages produits, % UF totales utilisées</t>
  </si>
  <si>
    <t>Fertilisants NPK organiques efficaces par ha SAU</t>
  </si>
  <si>
    <t>Engrais NPK minéraux par ha de SAU</t>
  </si>
  <si>
    <t>Priorite_Epand1</t>
  </si>
  <si>
    <t>Priorite_Epand2</t>
  </si>
  <si>
    <t>Quantités de N à épandre</t>
  </si>
  <si>
    <t>NonEcxed</t>
  </si>
  <si>
    <t xml:space="preserve"> kg/ha</t>
  </si>
  <si>
    <t>Situation non excédentaire</t>
  </si>
  <si>
    <t>Situation excédentaire</t>
  </si>
  <si>
    <t xml:space="preserve">Dose prévue Céréales 1: </t>
  </si>
  <si>
    <t xml:space="preserve">Dose prévue Céréales 2: </t>
  </si>
  <si>
    <t xml:space="preserve">Dose prévue Maïs: </t>
  </si>
  <si>
    <t xml:space="preserve">Dose prévue Autre culture 1: </t>
  </si>
  <si>
    <t xml:space="preserve">Dose prévue Autre culture 2: </t>
  </si>
  <si>
    <t>Kg lait / T MS totale</t>
  </si>
  <si>
    <t>Kg lait / 1000 UFL totales</t>
  </si>
  <si>
    <t>Kg Lait par UGB lait</t>
  </si>
  <si>
    <t>Production du troupeau allaitant</t>
  </si>
  <si>
    <t>Kg Poids vif produit / 1000 UF totales</t>
  </si>
  <si>
    <t>Kg Pds vif produit par vache présente</t>
  </si>
  <si>
    <t>● Aucune entrée, aucune sortie d'effluents (pressions modérées entre 80 et 120 kg de N par ha de SAU)</t>
  </si>
  <si>
    <t>● J'importe des effluents (pressions faibles: je peux importer de l'azote sans risquer un dépassement en phosphore)</t>
  </si>
  <si>
    <t>1 – Le système de production et les sources de NPK organiques associées.</t>
  </si>
  <si>
    <t>2 – Les chargements par hectare de SFP-SFPc et de Prairies</t>
  </si>
  <si>
    <t>UGB / ha prairies</t>
  </si>
  <si>
    <t>UGB. Jours / ha</t>
  </si>
  <si>
    <t>4 - Les Pressions NPK organiques des surfaces de la SFP-SFPc.</t>
  </si>
  <si>
    <t>5- Plan d’Epandage et Plans de Fumure, Recyclage et Reliquats.</t>
  </si>
  <si>
    <t>6 – Approche de l’Autonomie Alimentaire du Troupeau</t>
  </si>
  <si>
    <t>Les principaux critères qui éclairent la recherche d’une autonomie optimum économiquement, vis-à-vis des résultats observés ici, à stabiliser ou à améliorer, sont regroupés sous les trois volets suivants :</t>
  </si>
  <si>
    <t>31 – La Production du troupeau laitier</t>
  </si>
  <si>
    <t>Part de la fertilisation organique</t>
  </si>
  <si>
    <t xml:space="preserve">       Production du troupeau laitier</t>
  </si>
  <si>
    <t>Pour la croissance et l’engraissement, l’efficience moyenne de l’azote devrait dépasser 10 à 12 % pour être assez satisfaisante.</t>
  </si>
  <si>
    <t>33 – Indicateurs de l’utilisation des concentrés</t>
  </si>
  <si>
    <t xml:space="preserve">La répartition des reliquats peut être consultée dans l'annexe 3 des textes de présentation de Bilagreau. </t>
  </si>
  <si>
    <t>61 – Le degré d'Autonomie existant</t>
  </si>
  <si>
    <t>52  - Estimation du Recyclage des Nutriments sur les Surfaces Fourragères</t>
  </si>
  <si>
    <t>51 – Les nouvelles pressions résultant du plan d'épandage</t>
  </si>
  <si>
    <t>Besoins</t>
  </si>
  <si>
    <t xml:space="preserve">Besoins des animaux </t>
  </si>
  <si>
    <t>Apports utiles des fourrages produits</t>
  </si>
  <si>
    <t>Nouvelle quantité disponible par UGB</t>
  </si>
  <si>
    <t xml:space="preserve"> T MS utile</t>
  </si>
  <si>
    <t>Si oui, indiquez la quantité de réserves fourragères que vous pouvez mobiliser à cet effet:</t>
  </si>
  <si>
    <t xml:space="preserve">Le quantité de réserves que vous pouvez mobiliser est de </t>
  </si>
  <si>
    <t>Pouvez-vous corriger tout ou partie du déficit ci-dessus en utilisant vos réserves fourragères ?</t>
  </si>
  <si>
    <t>MSu/UGB (T):</t>
  </si>
  <si>
    <t>Apports</t>
  </si>
  <si>
    <t>Matière sèche utile par UGB:</t>
  </si>
  <si>
    <t xml:space="preserve"> (fourrages + concentrés)</t>
  </si>
  <si>
    <t>Qualité moyenne des aliments</t>
  </si>
  <si>
    <t>Qualité moyenne des fourrages grossiers:</t>
  </si>
  <si>
    <t>% d'autonomie alimentaire</t>
  </si>
  <si>
    <t>Objectif de 2 à 3 T MS par UGB</t>
  </si>
  <si>
    <t>fourrages grossiers</t>
  </si>
  <si>
    <t>Matière sèche utile fourra. grossiers</t>
  </si>
  <si>
    <t>Autonomie (ration de base)</t>
  </si>
  <si>
    <t>MS utile</t>
  </si>
  <si>
    <t>dans la SFPc</t>
  </si>
  <si>
    <t>Kg de poids vif / 1000 UF</t>
  </si>
  <si>
    <t>kg/ha SAU nette</t>
  </si>
  <si>
    <t>kg/ha SPE</t>
  </si>
  <si>
    <t>Projet de répartition des effluents à épandre</t>
  </si>
  <si>
    <t>Situation non excédentaire en azote</t>
  </si>
  <si>
    <t>Situation excédentaire en azote</t>
  </si>
  <si>
    <t xml:space="preserve"> kg N / ha SAU nette</t>
  </si>
  <si>
    <t>Cas</t>
  </si>
  <si>
    <t>Prairies (rejets directs)</t>
  </si>
  <si>
    <t>Quantité de N ou P2O5 des fourrages produite par la SFPc</t>
  </si>
  <si>
    <t>Retenu + non maîtrisable</t>
  </si>
  <si>
    <t>Résultats</t>
  </si>
  <si>
    <t>pour mille</t>
  </si>
  <si>
    <t>Kg de PV vendu</t>
  </si>
  <si>
    <t>VAL+v/ha</t>
  </si>
  <si>
    <t>kg de MS par animal fini</t>
  </si>
  <si>
    <t>Besoins, kg/animal</t>
  </si>
  <si>
    <t>Nouvelles pressions</t>
  </si>
  <si>
    <t>Rappel des pressions initiales sur les surfaces:</t>
  </si>
  <si>
    <t>32 – La Production de viande des troupeaux laitier et allaitant</t>
  </si>
  <si>
    <t>Concentré par UGB élevage + engraissement</t>
  </si>
  <si>
    <t xml:space="preserve">Quantités de fertilisants épandus sur la SFPc (organique efficace + minéral) </t>
  </si>
  <si>
    <t>Qualité moyenne des fourrages, par T de MS utile</t>
  </si>
  <si>
    <t>Kg N</t>
  </si>
  <si>
    <t>Kg P2O5</t>
  </si>
  <si>
    <t>Kg N / T MS utile</t>
  </si>
  <si>
    <t>Kg P2O5/T MS utile</t>
  </si>
  <si>
    <t>Objectif optimum</t>
  </si>
  <si>
    <t>Veaux sevrés / 100 vaches présentes</t>
  </si>
  <si>
    <t>Calcul fait à partir des rendements fourragers de l'exploitation</t>
  </si>
  <si>
    <t>UF achetées en fonction des besoins du troupeau</t>
  </si>
  <si>
    <t>N acheté en fonction des besoins du troupeau</t>
  </si>
  <si>
    <t>(T MS / an)</t>
  </si>
  <si>
    <t>Quantités</t>
  </si>
  <si>
    <t>62 – Le rôle des prairies dans la recherche du degré d’autonomie optimum.</t>
  </si>
  <si>
    <t>Production animale de l'exploitation, à sécuriser ou à améliorer</t>
  </si>
  <si>
    <t>Reportez ici les résultats de fertilisation exprimés en dose efficace par ha</t>
  </si>
  <si>
    <t>Chargement UGB / ha</t>
  </si>
  <si>
    <t>Quantité de N ou P2O5 minimale fournie par le sol / ha SFPc</t>
  </si>
  <si>
    <t>Observation des chargements pratiqués sur la SFPc de l’exploitation :</t>
  </si>
  <si>
    <t>UGB / ha SFPc</t>
  </si>
  <si>
    <t>Kg de poids vif vendus par vache</t>
  </si>
  <si>
    <t>Kg de poids vif vendus par UGB totales</t>
  </si>
  <si>
    <t>Kg de poids vif produits par vache</t>
  </si>
  <si>
    <t>Kg de poids vif vendus par vache présente</t>
  </si>
  <si>
    <t>UF / T MS utile</t>
  </si>
  <si>
    <t>A l'herbe</t>
  </si>
  <si>
    <r>
      <t>●</t>
    </r>
    <r>
      <rPr>
        <sz val="10"/>
        <rFont val="Arial"/>
        <family val="2"/>
      </rPr>
      <t xml:space="preserve"> type viande</t>
    </r>
  </si>
  <si>
    <r>
      <t>●</t>
    </r>
    <r>
      <rPr>
        <sz val="10"/>
        <rFont val="Arial"/>
        <family val="2"/>
      </rPr>
      <t xml:space="preserve"> type lait</t>
    </r>
  </si>
  <si>
    <t xml:space="preserve">Quel est mon objectif de pression organique finale? </t>
  </si>
  <si>
    <t>Azote (kg/ha SAU nette)</t>
  </si>
  <si>
    <t>P2O5 (kg/ha SAU nette)</t>
  </si>
  <si>
    <t>Les quantités achetées correspondent à une surface extérieure à l'exploitation estimée à</t>
  </si>
  <si>
    <t>&gt; 90 %</t>
  </si>
  <si>
    <t>Les principaux indicateurs ci-dessous définissent le niveau de l’intensification  du système grâce à la composition de l’assolement et de la SFP, des chargements et  des productions animales accompagnées des pressions organiques NPK correspondantes.</t>
  </si>
  <si>
    <t>En complément, le tableau 3 de l’annexe 1 du texte de présentation  précise les cinq degrés d’intensification ; mais la qualité du plan d’épandage,  des conduites des fertilisations et de l’alimentation du troupeau sont à même de réduire l’influence de l’intensification sur l’apparition des excédents NPK organiques.</t>
  </si>
  <si>
    <t>De nombreux paramètres sont nécessaires pour prendre en  compte la diversité des   systèmes d’élevage allaitant. Par ailleurs, on doit considérer l’ensemble des gains de poids vifs obtenus tout autant que les poids vifs à la vente ou en fin d’élevage , que les animaux soient gardés ou vendus . Ces résultats sont bien liés…à la gestion des concentrés, facteur important de l’autonomie alimentaire  de ces élevages.</t>
  </si>
  <si>
    <t xml:space="preserve">Les surfaces SFPc incluent les surfaces en « céréales et protéagineux » si  ces dernières sont .des auto- productions alimentaires liées au troupeau. Ainsi, compte tenu de leurs interactions, les pressions de la SFPc ou de la SFP classique sont à regarder particulièrement : elles sont en effet à la base du bilan agrozootechnique….. ; </t>
  </si>
  <si>
    <t xml:space="preserve">Les pressions nouvelles après export ou import du plan d’épandage sont ainsi les suivantes : </t>
  </si>
  <si>
    <t>63  – Conjuguer Autonomie, Durabilité et Environnement.</t>
  </si>
  <si>
    <t>25% Ensilage Maïs</t>
  </si>
  <si>
    <t>50% Ensilage Maïs</t>
  </si>
  <si>
    <t>25% Ensilage Herbe</t>
  </si>
  <si>
    <t>50% Ensilage Herbe</t>
  </si>
  <si>
    <t>Non maîtrisable</t>
  </si>
  <si>
    <t>Kg Poids vif produit / T MS totale</t>
  </si>
  <si>
    <t>NPK efficaces organiques année / NPK totaux %</t>
  </si>
  <si>
    <t xml:space="preserve">Production renouvelable des fourrages (hors céréales) </t>
  </si>
  <si>
    <t>- troupeau laitier (ou taurillons seuls)</t>
  </si>
  <si>
    <t>En général, dés ce premier examen, les risques d’excédents NPK doivent apparaître limités si les prairies dépassent 65 % de la SFPc avec un chargement de 1,60 ugb/ha et des pressions organiques de 100 à 120 kg N/ha/SAU nette. La surface des cultures de vente vis-à-vis de la SFP vient modérer ou non le niveau des pressions moyennes de la SAU. On pourra consulter les repères classiques ci-dessous pour positionner la présente exploitation.</t>
  </si>
  <si>
    <t>L’intensité des liaisons au sol et des pressions organiques NPK dépendent principalement de la valeur des chargements et notamment à partir du chargement des vaches en  production (optimum de 0,75 à 0,9/ha SFP, selon le taux de renouvellement) dont les rejets représentent 70 à 75 % de ceux du troupeau. Par ailleurs, le chargement exprimé par ha de SAU totale ou nette n’est pas satisfaisant car ces SAU diluent les vraies liaisons au sol en intégrant des surfaces qui ne contribuent pas aux flux d’excédents organiques possibles.</t>
  </si>
  <si>
    <t>En fin de pâturage, l’assemblage des deux indicateurs de conduite des prairies, chargements et jours/période, en UGB.jours/ha d’herbe selon le périmètre paturé, est un marqueur des flux N sous prairies : si le seuil de 550 ugb.jours/ha est dépassé, les eaux drainantes vont atteindre la concentration de 40 mg/litre (se réfèrer à la Présentation de Bilagreau, module 3). Si les animaux sont complémentés avec de l’ensilage de maïs (30 à 50 %ms ration) pendant plus de deux mois, ce seuil agroécologique peut être rehaussé de moitié  puisque les rejets diminuent d’autant avec ce complément.</t>
  </si>
  <si>
    <t>Si les UGB.jours/ha des Autres Bovins sont supérieurs à celui des vaches, notamment des vaches laitières, leurs conditions de conduite (surface, chargement) sont vraisemblablement à revoir.</t>
  </si>
  <si>
    <t>Les paramètres de cette production sont à examiner en les rapprochant des conditions d’exploitation et des pratiques alimentaires de l’année (qualité des fourrages conservés et pâturés ,conduite du pâturage, état sanitaire). La production/ha de la SFPc, la part respective des fourrages autoproduits et des concentrés, ainsi que la valorisation des UFL et de N (efficience &gt; 20% à rechercher) utilisés sont à examiner.</t>
  </si>
  <si>
    <t>Au pâturage, les pressions dépendent du chargement plus ou moins élevé de la période de printemps tout autant que de la valeur des rejets et de la complémentation prolongée ou non:La pression azotée est faible à modérée (80 à 110 kgN/ha) selon les conduites en système herbager ; elles augmentent ensuite régulièrement avec la diminution des surfaces en herbe et l’augmentation du couple « lactations et chargements » permis par l’ensilage de maïs. Le risque dû au phosphore suit la même progression en raison aussi de l’utilisation des tourteaux (variations possibles de 120 à 180 N/ha et 50 à 85 kg P2O5/ha).</t>
  </si>
  <si>
    <t>Le plan d’épandage est préparé pour équilibrer les flux de nutriments NPK entre  cultures et prairies. Quel que soit le système herbe-maïs, on peut commencer par rechercher les meilleures doses de N sur l’herbe pour éviter les apports NPK élevés sur cultures annuelles  d’une part et limiter ainsi les sources de résidus azotés, à la source des reliquats futurs (voir annexe 3 - Présentation).</t>
  </si>
  <si>
    <t>La première étape consiste à évaluer les apports de fourrages grossiers produits vis à vis de la conduite du troupeau, et des objectifs de production :</t>
  </si>
  <si>
    <t>L’analyse globale du système de production a mis à jour les principaux indicateurs matérialisant les productions fourragères et animales de même que leurs relations intra-système et l’apparition possible de risques potentiels ou réels de pollution azotée et phosphorée. En face des objectifs économiques de l’exploitation, il s’agit en effet de pratiquer la meilleure combinaison des facteurs de production et de la contrôler d’une année à l’autre ; simultanément il est permis de surveiller la situation agro-écologique de l’exploitation vis-à-vis de celle du bassin versant d’appartenance (publications du bureau du SAGE, des Syndicats d'Eau ou des Chambres d'Agriculture).</t>
  </si>
  <si>
    <t>Kg efficaces totaux</t>
  </si>
  <si>
    <t>jours</t>
  </si>
  <si>
    <t>Répartition de la correction pour l'écart de  6000 litres</t>
  </si>
  <si>
    <t>Quantités pour un niveau de production de 6000 litres</t>
  </si>
  <si>
    <t>Génisses année 2, dont repoussées vendues fin hiver</t>
  </si>
  <si>
    <t>Mâles année 2 (hors taurillons) dont repoussés vendus fin hiver</t>
  </si>
  <si>
    <t>Rejets par an et par UGB VL</t>
  </si>
  <si>
    <t>Rejets par an et par UGB VAL</t>
  </si>
  <si>
    <t>Bovins - Fumier</t>
  </si>
  <si>
    <t>Bovins - Lisier</t>
  </si>
  <si>
    <t>Bovins - Compost</t>
  </si>
  <si>
    <t>Porcs Biphase - Fumier paille</t>
  </si>
  <si>
    <t>Porcs Biphase - Lisier</t>
  </si>
  <si>
    <t>Porcs Biphase - Fumier copeaux</t>
  </si>
  <si>
    <t>Porcs Biphase - Fumier Sciure</t>
  </si>
  <si>
    <t>Porcs Biphase - Compost copeaux</t>
  </si>
  <si>
    <t>Porcs Biphase - Autre compost</t>
  </si>
  <si>
    <t>Porcs classique - Lisier</t>
  </si>
  <si>
    <t>Porcs classique - Fumier paille</t>
  </si>
  <si>
    <t>Porcs classique - Fumier Sciure</t>
  </si>
  <si>
    <t>Porcs classique - Fumier copeaux</t>
  </si>
  <si>
    <t>Porcs classique - Compost copeaux</t>
  </si>
  <si>
    <t>Porcs classique - Autre compost</t>
  </si>
  <si>
    <t>Volailles - Fumier poules et poulets</t>
  </si>
  <si>
    <t>Volailles - Fumier dindes</t>
  </si>
  <si>
    <t>Volailles - Fumier autres volailles</t>
  </si>
  <si>
    <t>Volailles - Composts</t>
  </si>
  <si>
    <t>Volailles - Lisier</t>
  </si>
  <si>
    <t>Ovins - Fumiers et composts</t>
  </si>
  <si>
    <t>Equilibre souhaitable des surfaces si SAMO =  SPE</t>
  </si>
  <si>
    <t>Flux de P2O5 sur prairies (kg / ha)</t>
  </si>
  <si>
    <t>Vous choisissez d'épandre en priorité</t>
  </si>
  <si>
    <t xml:space="preserve"> kg de N maîtrisable</t>
  </si>
  <si>
    <t xml:space="preserve"> kg de P2O5 maîtrisable</t>
  </si>
  <si>
    <t>Génisses élevées (tr. allaitant)</t>
  </si>
  <si>
    <t xml:space="preserve">dont autoproduits (céréales, protéagineux) </t>
  </si>
  <si>
    <t>autoproduits</t>
  </si>
  <si>
    <t>Quantité de concentrés</t>
  </si>
  <si>
    <t xml:space="preserve">dont autoproduits </t>
  </si>
  <si>
    <t>● Poulets standard</t>
  </si>
  <si>
    <t>● Poulets lourds et poulets certifiés</t>
  </si>
  <si>
    <t>● Poulets légers ou export</t>
  </si>
  <si>
    <t>● Poulets label</t>
  </si>
  <si>
    <t>● Poulets bio</t>
  </si>
  <si>
    <t>● Coquelets</t>
  </si>
  <si>
    <t>● Chapons</t>
  </si>
  <si>
    <t>● Canes reproductrices pékin</t>
  </si>
  <si>
    <t>● Canes reproductrices barbarie</t>
  </si>
  <si>
    <t>● Dindes de chair découpe femelles</t>
  </si>
  <si>
    <t>● Dindons de chair découpe mâles</t>
  </si>
  <si>
    <t>Divers &amp; engraissement</t>
  </si>
  <si>
    <t xml:space="preserve">Quantités totales restant à épandre </t>
  </si>
  <si>
    <t>NPK organiques totaux</t>
  </si>
  <si>
    <t>NPK maîtrisables 
        et prairies</t>
  </si>
  <si>
    <t>NPK organiques
        résiduels/ ha</t>
  </si>
  <si>
    <t>NPK organiques résiduels</t>
  </si>
  <si>
    <t>NPK efficaces 
         % total année</t>
  </si>
  <si>
    <t>Résultats d'analyses de l'effluent</t>
  </si>
  <si>
    <t>Résultats d'analyses</t>
  </si>
  <si>
    <t>Objectifs optimum de 5 à 5,5 T MS par UGB</t>
  </si>
  <si>
    <t>Surface pâturée par les autres bovins</t>
  </si>
  <si>
    <t>Rappel des surfaces pâturées</t>
  </si>
  <si>
    <t>par les vaches laitières</t>
  </si>
  <si>
    <t>CCP: Conduite du chargement au pâturage des autres bovins</t>
  </si>
  <si>
    <t>par les vaches allaitantes + veaux</t>
  </si>
  <si>
    <t>Coefficients de répartition des UGB*jours pour les vaches laitières</t>
  </si>
  <si>
    <t>Coefficients de répartition des UGB*jours pour les vaches allaitantes</t>
  </si>
  <si>
    <t>Coefficients de répartition retenus pour les UGB*jours pour les autres bovins</t>
  </si>
  <si>
    <r>
      <t xml:space="preserve">l'herbe </t>
    </r>
    <r>
      <rPr>
        <i/>
        <sz val="10"/>
        <color rgb="FFFF0000"/>
        <rFont val="Arial"/>
        <family val="2"/>
      </rPr>
      <t>(*)</t>
    </r>
  </si>
  <si>
    <r>
      <t>Total</t>
    </r>
    <r>
      <rPr>
        <sz val="10"/>
        <color rgb="FFFF0000"/>
        <rFont val="Arial"/>
        <family val="2"/>
      </rPr>
      <t xml:space="preserve"> (*)</t>
    </r>
  </si>
  <si>
    <t>En système bovin seul, avec un chargement de 1,5 – 1,7 ugb/ha SFP et une pression N voisine de 120 kg/ha SFP (50-60 kg P2O5), les risques d’excédents sont faibles si les PPF sont conformes aux besoins des cultures et des prairies. En système bovin avec hors-sol, les pressions azotées avoisinent ou dépassent 170 kgN/ha SAUn ; aussi, les pressions de N vont devoir diminuer en exportant en premier ou traitant 30-50 kgN/ha de l’élevage hors-sol …. pour réduire les risques d’excès associés de N et de P (P2O5/N=0,60 pour les effluents porcins et 0,95-1,05 pour les effluents avicoles).</t>
  </si>
  <si>
    <t>La qualité azotée moyenne des rationnements doit approcher 160 mat /kg.ms pour la production laitière, soit 125 mad /UFL ou 100-105 PDI/ufl, (régime de teneur N = 2,5-2,7%MST). Pour la croissance et l’engraissement, ces repères pourront être diminués de 10 à 15 % selon l’âge et les objectifs recherchés par type d’animal (régime de teneur N = 2,2-2,5% MST).</t>
  </si>
  <si>
    <t>La récapitulation des achats de fourrages ou/et de concentrés divers a permis de situer la dépendance énérgétique, la plupart du temps moins lourde et difficile à résoudre que la dépendance azotée, facteur limitant de l’autonomie alimentaire. L’estimation des surfaces extérieures « achats » vient de le montrer (module Achats).</t>
  </si>
  <si>
    <t>Total organique de l'exploitation</t>
  </si>
  <si>
    <t>Engrais minéraux totaux épandus</t>
  </si>
  <si>
    <t>Exportation fourrages et prairies (SFPc)</t>
  </si>
  <si>
    <t>Exportations des cultures de vente</t>
  </si>
  <si>
    <t>Effluents organiques exportés</t>
  </si>
  <si>
    <t>Totaux</t>
  </si>
  <si>
    <t>Totaux par ha de SAU nette</t>
  </si>
  <si>
    <t>Totaux par ha de SAU totale</t>
  </si>
  <si>
    <t>Calcul du K2O importé à partir des coefficients K2O/N</t>
  </si>
  <si>
    <t>Importés</t>
  </si>
  <si>
    <t>Exportés</t>
  </si>
  <si>
    <t>Quantité vendue</t>
  </si>
  <si>
    <t>Unité</t>
  </si>
  <si>
    <t>Tonnes Matières Vertes</t>
  </si>
  <si>
    <t>Tonnes Matières Sèches</t>
  </si>
  <si>
    <t>Total Effluents organiques importés</t>
  </si>
  <si>
    <t>Digestats de méthanis. Liquide</t>
  </si>
  <si>
    <t>Digestats de méthanis. Solide</t>
  </si>
  <si>
    <t>Digestats de méthanis. Compost</t>
  </si>
  <si>
    <t>Quantités K2O</t>
  </si>
  <si>
    <t>Apports, kg</t>
  </si>
  <si>
    <t>Exportations, kg</t>
  </si>
  <si>
    <t>Solde</t>
  </si>
  <si>
    <t>Solde par ha de SAU nette</t>
  </si>
  <si>
    <t>Solde par ha de SAU totale</t>
  </si>
  <si>
    <t>Entrées kg</t>
  </si>
  <si>
    <t>Effluents organiques importés</t>
  </si>
  <si>
    <t xml:space="preserve">   - prairies d'association</t>
  </si>
  <si>
    <t xml:space="preserve">   - cultures pures</t>
  </si>
  <si>
    <t>Aliments achetés</t>
  </si>
  <si>
    <t xml:space="preserve">   - porcins</t>
  </si>
  <si>
    <t xml:space="preserve">   - volailles</t>
  </si>
  <si>
    <t xml:space="preserve">   - lapins</t>
  </si>
  <si>
    <t>Apports atmosphériques</t>
  </si>
  <si>
    <t>Fixation symbiotique légumineuses</t>
  </si>
  <si>
    <t>Engrais minéraux totaux achetés</t>
  </si>
  <si>
    <t>% moyen trèfle blanc</t>
  </si>
  <si>
    <t>Porcins</t>
  </si>
  <si>
    <t>- Truie mixte</t>
  </si>
  <si>
    <t>- Truie Gestation</t>
  </si>
  <si>
    <t>- Truie Lactation</t>
  </si>
  <si>
    <t>- Post-sevrage standard 1er âge</t>
  </si>
  <si>
    <t>- Post-sevrage standard 2eme âge</t>
  </si>
  <si>
    <t>- Post-sevrage biphase 1er âge</t>
  </si>
  <si>
    <t>- Post-sevrage biphase 2eme âge</t>
  </si>
  <si>
    <t>- Engraissement aliment unique</t>
  </si>
  <si>
    <t>- Engraissement croissance (biphase)</t>
  </si>
  <si>
    <t>- Engraissement finition (biphase)</t>
  </si>
  <si>
    <t>Kg</t>
  </si>
  <si>
    <t>● Chapons + Poulardes</t>
  </si>
  <si>
    <t>● Poules pondeuses (œufs)</t>
  </si>
  <si>
    <t>- Poules pondeuses (œufs)</t>
  </si>
  <si>
    <t>- Poules pondeuses bio (œufs) au sol</t>
  </si>
  <si>
    <t>- Poules reproductrices label chair</t>
  </si>
  <si>
    <t>- Poulettes élevées</t>
  </si>
  <si>
    <t>- Poulettes élevées bio</t>
  </si>
  <si>
    <t>- Poulets légers ou export</t>
  </si>
  <si>
    <t>- Poulets standard</t>
  </si>
  <si>
    <t>- Poulets lourds et poulets certifiés</t>
  </si>
  <si>
    <t>- Poulets label</t>
  </si>
  <si>
    <t>- Poulets bio</t>
  </si>
  <si>
    <t>- Coquelets</t>
  </si>
  <si>
    <t>- Chapons + Poulardes</t>
  </si>
  <si>
    <t>- Oies reproductrices</t>
  </si>
  <si>
    <t>- Oies futures reproductrices chair</t>
  </si>
  <si>
    <t>- Oies futures reproductrices gras</t>
  </si>
  <si>
    <t>- Oies prêtes à gaver</t>
  </si>
  <si>
    <t>- Canes reproductrices barbarie</t>
  </si>
  <si>
    <t>- Canes reproductrices pékin</t>
  </si>
  <si>
    <t>- Canards mulards prêts à gaver</t>
  </si>
  <si>
    <t>- Canards de barbarie mâles</t>
  </si>
  <si>
    <t>- Canettes (barbarie + pékin)</t>
  </si>
  <si>
    <t>- Canards barbarie "sexes mélangés"</t>
  </si>
  <si>
    <t>- Dindes reproductrices</t>
  </si>
  <si>
    <t>- Dindes futures reproductrices</t>
  </si>
  <si>
    <t>- Dindes à rôtir standard</t>
  </si>
  <si>
    <t>- Dindes à rôtir Bio</t>
  </si>
  <si>
    <t>- Dindes de chair</t>
  </si>
  <si>
    <t>- Dindes à rôtir Label</t>
  </si>
  <si>
    <t>- Dindes lourdes</t>
  </si>
  <si>
    <t>- Dindons de chair découpe mâles</t>
  </si>
  <si>
    <t>- Dindes de chair découpe femelles</t>
  </si>
  <si>
    <t>- Pintades reproductrices</t>
  </si>
  <si>
    <t>- Pintades futures reproductrices</t>
  </si>
  <si>
    <t>- Pintades de chair standard</t>
  </si>
  <si>
    <t>- Pintades de chair label</t>
  </si>
  <si>
    <t>- Pintades de chair bio</t>
  </si>
  <si>
    <t>- aliment à 17% de protéines</t>
  </si>
  <si>
    <t>- aliment à 16.5% de protéines</t>
  </si>
  <si>
    <t>- aliment à 16% de protéines</t>
  </si>
  <si>
    <t>- aliment à 15.5% de protéines</t>
  </si>
  <si>
    <t>- aliment à 15% de protéines</t>
  </si>
  <si>
    <t>- aliment à 14.5% de protéines</t>
  </si>
  <si>
    <t>Votre environnement en hors sol</t>
  </si>
  <si>
    <t>Pas de hors sol à moins de 2 km</t>
  </si>
  <si>
    <t>Quelques élevages hors sol</t>
  </si>
  <si>
    <t>Nombreux élevages hors sol</t>
  </si>
  <si>
    <t>Achats d'animaux</t>
  </si>
  <si>
    <t xml:space="preserve"> - Bovins</t>
  </si>
  <si>
    <t xml:space="preserve"> - Porcins</t>
  </si>
  <si>
    <t xml:space="preserve"> - Ovins</t>
  </si>
  <si>
    <t xml:space="preserve"> - Caprins</t>
  </si>
  <si>
    <t xml:space="preserve"> - Volailles</t>
  </si>
  <si>
    <t xml:space="preserve"> Poids total d'animaux achetés</t>
  </si>
  <si>
    <t xml:space="preserve"> - Bovins**</t>
  </si>
  <si>
    <t xml:space="preserve">  ** y compris veaux de boucherie</t>
  </si>
  <si>
    <t>Animaux achetés</t>
  </si>
  <si>
    <t>Kg / Tonne</t>
  </si>
  <si>
    <t>Totaux, kg</t>
  </si>
  <si>
    <t>Totaux, kg/ha SAU nette</t>
  </si>
  <si>
    <t>Totaux, kg/ha SAU totale</t>
  </si>
  <si>
    <t>K2O (Kg/T MS)</t>
  </si>
  <si>
    <t>Maïs deshydraté</t>
  </si>
  <si>
    <t>K2O (kg/T MS)</t>
  </si>
  <si>
    <t>Fumiers de lapin</t>
  </si>
  <si>
    <t>Lisiers de lapins</t>
  </si>
  <si>
    <t>Fumiers de lapins</t>
  </si>
  <si>
    <t>Coeff utilisation année</t>
  </si>
  <si>
    <t>Coefficients d'efficacité des nutriments</t>
  </si>
  <si>
    <t>● Reste à couvrir après correction [due aux coefficients d'efficacité de N P K]</t>
  </si>
  <si>
    <t>Coeff utilisation annuelle</t>
  </si>
  <si>
    <t>K2O total (kg)</t>
  </si>
  <si>
    <t>Sorties kg</t>
  </si>
  <si>
    <t>Fourrages exportés</t>
  </si>
  <si>
    <r>
      <rPr>
        <b/>
        <sz val="11"/>
        <rFont val="Arial"/>
        <family val="2"/>
      </rPr>
      <t>Quelles sont vos cultures de vente ?</t>
    </r>
    <r>
      <rPr>
        <b/>
        <sz val="10"/>
        <rFont val="Arial"/>
        <family val="2"/>
      </rPr>
      <t xml:space="preserve">
</t>
    </r>
    <r>
      <rPr>
        <sz val="10"/>
        <rFont val="Arial"/>
        <family val="2"/>
      </rPr>
      <t>Produits réellement vendus, excluant les concentrés autoconsommés, 
qui sont inclus dans la SFPc</t>
    </r>
  </si>
  <si>
    <t>Qtité d'aliments d'allaitement achetés</t>
  </si>
  <si>
    <t>% protéines totales de l'aliment</t>
  </si>
  <si>
    <t>Quantités d'aliments achetés</t>
  </si>
  <si>
    <r>
      <t xml:space="preserve">Saisies de données pour établir les </t>
    </r>
    <r>
      <rPr>
        <b/>
        <u/>
        <sz val="11"/>
        <color rgb="FFFF0000"/>
        <rFont val="Arial"/>
        <family val="2"/>
      </rPr>
      <t>balances globales NPK</t>
    </r>
    <r>
      <rPr>
        <b/>
        <u/>
        <sz val="11"/>
        <rFont val="Arial"/>
        <family val="2"/>
      </rPr>
      <t xml:space="preserve"> (type CORPEN, réglementation)</t>
    </r>
  </si>
  <si>
    <r>
      <t xml:space="preserve">Saisies de données pour établir le </t>
    </r>
    <r>
      <rPr>
        <b/>
        <u/>
        <sz val="11"/>
        <color rgb="FFFF0000"/>
        <rFont val="Arial"/>
        <family val="2"/>
      </rPr>
      <t>bilan apparent des minéraux</t>
    </r>
    <r>
      <rPr>
        <b/>
        <u/>
        <sz val="11"/>
        <rFont val="Arial"/>
        <family val="2"/>
      </rPr>
      <t xml:space="preserve"> (type INRA 1992 et Institut de l'Elevage 1995)</t>
    </r>
  </si>
  <si>
    <r>
      <t xml:space="preserve">2. </t>
    </r>
    <r>
      <rPr>
        <b/>
        <sz val="11"/>
        <color rgb="FFFF0000"/>
        <rFont val="Arial"/>
        <family val="2"/>
      </rPr>
      <t xml:space="preserve">Le bilan apparent des minéraux </t>
    </r>
    <r>
      <rPr>
        <b/>
        <sz val="11"/>
        <rFont val="Arial"/>
        <family val="2"/>
      </rPr>
      <t>(type INRA 1992 et Institut de l'Elevage 2000)</t>
    </r>
  </si>
  <si>
    <t>- Foin de graminées</t>
  </si>
  <si>
    <t>- Foin de légumineuses</t>
  </si>
  <si>
    <t>- Foin d'association</t>
  </si>
  <si>
    <t>- Ensilage de graminées</t>
  </si>
  <si>
    <t>- Ensilage de légumineuses</t>
  </si>
  <si>
    <t>- Ensilage d'association</t>
  </si>
  <si>
    <t>- Betteraves fourragères</t>
  </si>
  <si>
    <t>- Luzerne deshydratée</t>
  </si>
  <si>
    <t>- Graminées deshydratées</t>
  </si>
  <si>
    <t>- Maïs deshydraté</t>
  </si>
  <si>
    <t>- Pailles</t>
  </si>
  <si>
    <t>- Ensilage de maïs ou de sorgho</t>
  </si>
  <si>
    <t>Saisie Bilan</t>
  </si>
  <si>
    <t>Quels sont vos fourrages et pailles vendus?</t>
  </si>
  <si>
    <t>- Lait</t>
  </si>
  <si>
    <t>** y compris veaux d'élevage et veaux de boucherie</t>
  </si>
  <si>
    <t>● Oies à rotir + label</t>
  </si>
  <si>
    <t>- Oies à rotir + label</t>
  </si>
  <si>
    <t>● Canards gras et pékin + en gavage</t>
  </si>
  <si>
    <t>● Oies grasses (en gavage)</t>
  </si>
  <si>
    <t>- Oies grasses (en gavage)</t>
  </si>
  <si>
    <t>- Canards gras et pékin + en gavage</t>
  </si>
  <si>
    <t>● Poules reproductrices ponte &amp; chair</t>
  </si>
  <si>
    <t>- Poules reproductrices ponte &amp; chair</t>
  </si>
  <si>
    <t>Veaux de boucherie + veaux d'élevage</t>
  </si>
  <si>
    <t>Aliment 1</t>
  </si>
  <si>
    <t>Aliment 2</t>
  </si>
  <si>
    <t>Protéines</t>
  </si>
  <si>
    <t>g/tonne</t>
  </si>
  <si>
    <t xml:space="preserve"> - Lapins</t>
  </si>
  <si>
    <t>tonnes de poids vif</t>
  </si>
  <si>
    <t>- Bovins **</t>
  </si>
  <si>
    <t>- Porcins</t>
  </si>
  <si>
    <t>- Poules de réforme</t>
  </si>
  <si>
    <t>- Oies</t>
  </si>
  <si>
    <t>- Canards mixtes</t>
  </si>
  <si>
    <t>- Canards</t>
  </si>
  <si>
    <t>- Canettes</t>
  </si>
  <si>
    <t>- Canards gras</t>
  </si>
  <si>
    <t>- Dindes</t>
  </si>
  <si>
    <t>- Pintades</t>
  </si>
  <si>
    <t>- Oeufs</t>
  </si>
  <si>
    <t>- Lapins</t>
  </si>
  <si>
    <t>Produits animaux vendus?</t>
  </si>
  <si>
    <t>Fourrages et pailles exportés</t>
  </si>
  <si>
    <t>Produits animaux vendus</t>
  </si>
  <si>
    <t>Effluents exportés</t>
  </si>
  <si>
    <t>Totaux, kg par ha de SAU nette</t>
  </si>
  <si>
    <t>Totaux, kg par ha de SAU totale</t>
  </si>
  <si>
    <t>Taux de mortalité</t>
  </si>
  <si>
    <t xml:space="preserve">Facteur de </t>
  </si>
  <si>
    <t>correction</t>
  </si>
  <si>
    <t>Total pour les autres bovins au pâturage</t>
  </si>
  <si>
    <t>Saisie bilan</t>
  </si>
  <si>
    <t>- Poulets</t>
  </si>
  <si>
    <t>- Chapons</t>
  </si>
  <si>
    <t>- Poulettes</t>
  </si>
  <si>
    <r>
      <t>Indices de conversion</t>
    </r>
    <r>
      <rPr>
        <i/>
        <sz val="10"/>
        <rFont val="Arial"/>
        <family val="2"/>
      </rPr>
      <t xml:space="preserve"> (Sorties/Entrées)</t>
    </r>
  </si>
  <si>
    <r>
      <t>Indices pertes système</t>
    </r>
    <r>
      <rPr>
        <i/>
        <sz val="10"/>
        <rFont val="Arial"/>
        <family val="2"/>
      </rPr>
      <t xml:space="preserve"> (Excédents/Sorties)</t>
    </r>
  </si>
  <si>
    <t>ha SAU nette (contributive sur le plan agronomique)</t>
  </si>
  <si>
    <t>Dose brute N / ha</t>
  </si>
  <si>
    <t>kg / ha</t>
  </si>
  <si>
    <t>Besoins plante entière</t>
  </si>
  <si>
    <t>Exportation plante entière</t>
  </si>
  <si>
    <t>Blé tendre</t>
  </si>
  <si>
    <t>Triticale</t>
  </si>
  <si>
    <t>Coefficients pour calcul selon normes administratives de 2011 modifiées 2016</t>
  </si>
  <si>
    <t>Caillebotis &amp; Raclage en V</t>
  </si>
  <si>
    <t>● Effectif moyen reproduct. (truies + verrats)</t>
  </si>
  <si>
    <t>● Nbre de cochettes élevées sur place (par an)</t>
  </si>
  <si>
    <t>● Poules pondeuses (œufs), au sol</t>
  </si>
  <si>
    <t>● Poulettes sol ou élevées bio</t>
  </si>
  <si>
    <t>● Poulettes élevées standard cage</t>
  </si>
  <si>
    <t xml:space="preserve">● Mini Chapons label </t>
  </si>
  <si>
    <t>● Chapons de Pintades label</t>
  </si>
  <si>
    <t>● Dindes de chair medium</t>
  </si>
  <si>
    <t>ID: Identification de l'exploitation</t>
  </si>
  <si>
    <t>Nom:</t>
  </si>
  <si>
    <t>Adresse postale complète:</t>
  </si>
  <si>
    <t>Lieu dit:</t>
  </si>
  <si>
    <t>Code de l'exploitation:</t>
  </si>
  <si>
    <t>Type de sol</t>
  </si>
  <si>
    <t>Compostez-vous les</t>
  </si>
  <si>
    <t>litières ?</t>
  </si>
  <si>
    <t>Correction engraissement poids &gt; 118 kg</t>
  </si>
  <si>
    <t>● Canes Barbarie future repro</t>
  </si>
  <si>
    <t>● Canes Pékin future repro</t>
  </si>
  <si>
    <t>● Canes Barbarie reproductrice</t>
  </si>
  <si>
    <t>● Canes Pékin reproductrice</t>
  </si>
  <si>
    <t>● Canes Pékin ponte</t>
  </si>
  <si>
    <t>● Canes Pékin x Barbarie</t>
  </si>
  <si>
    <t>● Canettes Barbarie standard</t>
  </si>
  <si>
    <t>● Canettes Pékin standard</t>
  </si>
  <si>
    <t>● Canettes Barbarie Label</t>
  </si>
  <si>
    <t>● Canettes Mulard à rotir</t>
  </si>
  <si>
    <t>● Canards Barbarie mâles</t>
  </si>
  <si>
    <t>● Canards Barbarie "sexes mélangés"</t>
  </si>
  <si>
    <t>● Canards Mulards prêts à gaver</t>
  </si>
  <si>
    <t>● Canards Gras et Pékin</t>
  </si>
  <si>
    <t>Proportion dans la phase solide</t>
  </si>
  <si>
    <t>Quantités estimées avec les normes administratives de 2016</t>
  </si>
  <si>
    <t>● J'exporte une partie des effluents (pression trop forte en N et/ou P) en l’exprimant par une diminution de kgN/ha épandable</t>
  </si>
  <si>
    <t>Les doses brutes retenues ici 
sont rappelées au milieu des fiches 
Ferti-Prairies et Ferti-Cultures</t>
  </si>
  <si>
    <r>
      <t xml:space="preserve">Les doses transférées içi depuis les plans de fertilisation des prairies ou des cultures
sont exprimées </t>
    </r>
    <r>
      <rPr>
        <b/>
        <u/>
        <sz val="11"/>
        <color theme="6" tint="-0.499984740745262"/>
        <rFont val="Arial"/>
        <family val="2"/>
      </rPr>
      <t>en dose efficace</t>
    </r>
    <r>
      <rPr>
        <b/>
        <sz val="11"/>
        <color theme="6" tint="-0.499984740745262"/>
        <rFont val="Arial"/>
        <family val="2"/>
      </rPr>
      <t>.</t>
    </r>
  </si>
  <si>
    <t>Une fois vos calculs terminés, Transférez les doses efficaces retenues sur Ferti_SAU</t>
  </si>
  <si>
    <t xml:space="preserve"> par ha</t>
  </si>
  <si>
    <t>Calculs effectués avec les normes INRA / CORPEN de 2011 &amp; 2016 et de 2016 (hors-sol)</t>
  </si>
  <si>
    <t>Période 1</t>
  </si>
  <si>
    <t>Période 2</t>
  </si>
  <si>
    <t>Période 3</t>
  </si>
  <si>
    <t>Autoconsommation grains</t>
  </si>
  <si>
    <t>ou/plus légumineuses récoltées + divers fourrages</t>
  </si>
  <si>
    <r>
      <t>Format et poids vif des vaches</t>
    </r>
    <r>
      <rPr>
        <b/>
        <sz val="12"/>
        <rFont val="Arial"/>
        <family val="2"/>
      </rPr>
      <t xml:space="preserve"> </t>
    </r>
    <r>
      <rPr>
        <b/>
        <sz val="12"/>
        <color rgb="FFFF0000"/>
        <rFont val="Arial"/>
        <family val="2"/>
      </rPr>
      <t>(* !!! indispensable)</t>
    </r>
  </si>
  <si>
    <r>
      <t>Format et poids vif des génisses d'élevage</t>
    </r>
    <r>
      <rPr>
        <sz val="10"/>
        <color rgb="FFFF0000"/>
        <rFont val="Arial"/>
        <family val="2"/>
      </rPr>
      <t xml:space="preserve"> </t>
    </r>
    <r>
      <rPr>
        <b/>
        <sz val="18"/>
        <color rgb="FFFF0000"/>
        <rFont val="Arial"/>
        <family val="2"/>
      </rPr>
      <t>(*)</t>
    </r>
  </si>
  <si>
    <r>
      <t>Format des mâles issus du troupeau allaitant</t>
    </r>
    <r>
      <rPr>
        <sz val="10"/>
        <color rgb="FFFF0000"/>
        <rFont val="Arial"/>
        <family val="2"/>
      </rPr>
      <t xml:space="preserve"> </t>
    </r>
    <r>
      <rPr>
        <b/>
        <sz val="16"/>
        <color rgb="FFFF0000"/>
        <rFont val="Arial"/>
        <family val="2"/>
      </rPr>
      <t>(*)</t>
    </r>
  </si>
  <si>
    <r>
      <t>Format des taurillons de race à viande</t>
    </r>
    <r>
      <rPr>
        <sz val="10"/>
        <color rgb="FFFF0000"/>
        <rFont val="Arial"/>
        <family val="2"/>
      </rPr>
      <t xml:space="preserve"> </t>
    </r>
    <r>
      <rPr>
        <b/>
        <sz val="16"/>
        <color rgb="FFFF0000"/>
        <rFont val="Arial"/>
        <family val="2"/>
      </rPr>
      <t>(*)</t>
    </r>
  </si>
  <si>
    <r>
      <t>Format des génisses à l'engraissement</t>
    </r>
    <r>
      <rPr>
        <sz val="10"/>
        <color rgb="FFFF0000"/>
        <rFont val="Arial"/>
        <family val="2"/>
      </rPr>
      <t xml:space="preserve"> </t>
    </r>
    <r>
      <rPr>
        <b/>
        <sz val="16"/>
        <color rgb="FFFF0000"/>
        <rFont val="Arial"/>
        <family val="2"/>
      </rPr>
      <t>(*)</t>
    </r>
  </si>
  <si>
    <t>(*)</t>
  </si>
  <si>
    <t xml:space="preserve"> (*)</t>
  </si>
  <si>
    <t>UGB lait / SFPc</t>
  </si>
  <si>
    <t>UGB allaitantes / SFPc</t>
  </si>
  <si>
    <t xml:space="preserve">Total UGB Troupeau bovin / SFPc </t>
  </si>
  <si>
    <t>Type</t>
  </si>
  <si>
    <t>Sous-Type</t>
  </si>
  <si>
    <r>
      <t xml:space="preserve">Evaluation des rejets bruts de NPK par jour de pâturage
</t>
    </r>
    <r>
      <rPr>
        <b/>
        <sz val="12"/>
        <rFont val="Arial"/>
        <family val="2"/>
      </rPr>
      <t>(NPK / UGB*jours*ha)</t>
    </r>
  </si>
  <si>
    <t>● Vaches allaitantes et leurs veaux</t>
  </si>
  <si>
    <t>● Elevage et engraissement</t>
  </si>
  <si>
    <t>UEL</t>
  </si>
  <si>
    <t>0.95 (précoce)</t>
  </si>
  <si>
    <t>1.00 (optimum)</t>
  </si>
  <si>
    <t>1.05 (tardif)</t>
  </si>
  <si>
    <t>Hauteur (cm)</t>
  </si>
  <si>
    <t>ha cultures annuelles épandues</t>
  </si>
  <si>
    <t>ha prairies épandues</t>
  </si>
  <si>
    <t>Surface fourragère principale (% SFPc)</t>
  </si>
  <si>
    <t>ou complémentée (&lt; 25% de la MS de la ration totale)</t>
  </si>
  <si>
    <t>● herbe 50% + ensilage herbe ou foin 50%</t>
  </si>
  <si>
    <t>Menu --&gt;</t>
  </si>
  <si>
    <t>SPE (Surf. Pot. Epand.)</t>
  </si>
  <si>
    <t>Prairies (Rejets directs)</t>
  </si>
  <si>
    <t>Prairies Elevage et engraissement</t>
  </si>
  <si>
    <t>Prairies Vaches laitières</t>
  </si>
  <si>
    <t>Prairies Vaches allaitantes + veaux</t>
  </si>
  <si>
    <t>a</t>
  </si>
  <si>
    <t>b</t>
  </si>
  <si>
    <t>Cette estimation varie de 10 à 60 kg N par ha d'herbe entre 200 UBGJ et 600 UGBJ par ha
Ces résultats concernent principalement les prairies de l'Arc Atlantique 
et ne sont pas valables pour des drainages (lames d'eau) supérieurs à 600 mm par an</t>
  </si>
  <si>
    <r>
      <t xml:space="preserve">Compte tenu des données actuelles sur le devenir des déjections au pâturage, la part </t>
    </r>
    <r>
      <rPr>
        <b/>
        <i/>
        <sz val="10"/>
        <color rgb="FF0000FF"/>
        <rFont val="Arial"/>
        <family val="2"/>
      </rPr>
      <t>efficace</t>
    </r>
    <r>
      <rPr>
        <b/>
        <i/>
        <sz val="10"/>
        <color rgb="FF336600"/>
        <rFont val="Arial"/>
        <family val="2"/>
      </rPr>
      <t xml:space="preserve"> de ces restitutions annuelles est proche des résultats ci-dessous</t>
    </r>
  </si>
  <si>
    <r>
      <t xml:space="preserve">* Par ailleurs, pour l'azote, les arrière-effets des restitutions </t>
    </r>
    <r>
      <rPr>
        <b/>
        <i/>
        <sz val="10"/>
        <color rgb="FF0000FF"/>
        <rFont val="Arial"/>
        <family val="2"/>
      </rPr>
      <t>non efficaces</t>
    </r>
    <r>
      <rPr>
        <b/>
        <i/>
        <sz val="10"/>
        <color rgb="FF336600"/>
        <rFont val="Arial"/>
        <family val="2"/>
      </rPr>
      <t xml:space="preserve"> de l'année alimenteront en partie les apports fournis par le sol pendant les années suivantes.</t>
    </r>
  </si>
  <si>
    <t>- Pression au pâturage (kg bruts /ha)</t>
  </si>
  <si>
    <t>Minéralisation de l'azote sous prairie dans votre région</t>
  </si>
  <si>
    <t>kg N / ha</t>
  </si>
  <si>
    <t>Lessivage potentiel</t>
  </si>
  <si>
    <t>Rappel des estimations à partir des UGBJ / Ha</t>
  </si>
  <si>
    <t>- vaches allaitantes + veaux</t>
  </si>
  <si>
    <t>- Elevage et engraissement</t>
  </si>
  <si>
    <t>Ce résultat peut être comparé à l'estimation précédente à partir des UGBJ / ha</t>
  </si>
  <si>
    <t>x3</t>
  </si>
  <si>
    <t>x2</t>
  </si>
  <si>
    <t>x</t>
  </si>
  <si>
    <t>Min</t>
  </si>
  <si>
    <t>Max</t>
  </si>
  <si>
    <t xml:space="preserve">   - aliments allaitement (tous veaux)</t>
  </si>
  <si>
    <t>* Indispensable</t>
  </si>
  <si>
    <t>Prairies en graminées pures et prairies permanentes</t>
  </si>
  <si>
    <t>(0.5 à 1.3)</t>
  </si>
  <si>
    <t>(0.8 à 2.0)</t>
  </si>
  <si>
    <t>(0.8 à 1.5)</t>
  </si>
  <si>
    <t>(1.0 à 1.5)</t>
  </si>
  <si>
    <t>Maximums admissibles 
selon le système fourrager</t>
  </si>
  <si>
    <t>1.5 - 1.8</t>
  </si>
  <si>
    <t>120 - 140</t>
  </si>
  <si>
    <t>50 - 70</t>
  </si>
  <si>
    <t>500 - 600</t>
  </si>
  <si>
    <t>Concentrés par jour</t>
  </si>
  <si>
    <t xml:space="preserve"> kg/j</t>
  </si>
  <si>
    <t>Concentrés pour la saison de pâturage (Kg)</t>
  </si>
  <si>
    <t>Totale</t>
  </si>
  <si>
    <t>... dont autoproduits</t>
  </si>
  <si>
    <t>... dont pendant le pâturage</t>
  </si>
  <si>
    <t>Mâles laitier année 1</t>
  </si>
  <si>
    <t>Mâles laitier année 2</t>
  </si>
  <si>
    <t>Mâles laitier début année 3</t>
  </si>
  <si>
    <t>Mâles allaitant année 1</t>
  </si>
  <si>
    <t>Mâles allaitant année 2</t>
  </si>
  <si>
    <t>Mâles allaitant début année 3</t>
  </si>
  <si>
    <t>Effectifs</t>
  </si>
  <si>
    <t>Auto</t>
  </si>
  <si>
    <t>Laitier 1</t>
  </si>
  <si>
    <t>Laitier 2</t>
  </si>
  <si>
    <t>Laitier 3</t>
  </si>
  <si>
    <t>All 1</t>
  </si>
  <si>
    <t>All 2</t>
  </si>
  <si>
    <t>All 3</t>
  </si>
  <si>
    <t>par génisse de renouvellement élevée</t>
  </si>
  <si>
    <t>Dont</t>
  </si>
  <si>
    <t>au pâturage</t>
  </si>
  <si>
    <t>Surfaces en herbe (pâturées et récoltées)</t>
  </si>
  <si>
    <t>Total Effluents organiques importés sur prairies</t>
  </si>
  <si>
    <t>Engrais minéraux totaux épandus sur prairies</t>
  </si>
  <si>
    <t>Rejets directs au pâturage</t>
  </si>
  <si>
    <t>Fixation symbiotique des associations</t>
  </si>
  <si>
    <t>Sénescence des prairies</t>
  </si>
  <si>
    <t>Azote atmosphérique</t>
  </si>
  <si>
    <t>Total organique épandu sur les prairies</t>
  </si>
  <si>
    <t>Herbe fauchée récoltée</t>
  </si>
  <si>
    <t>- Ensilage</t>
  </si>
  <si>
    <t>- Foin</t>
  </si>
  <si>
    <t>Herbe pâturée</t>
  </si>
  <si>
    <r>
      <t xml:space="preserve">1. </t>
    </r>
    <r>
      <rPr>
        <b/>
        <sz val="11"/>
        <color rgb="FFFF0000"/>
        <rFont val="Arial"/>
        <family val="2"/>
      </rPr>
      <t>Les balances globales NPK pour les surfaces en herbe</t>
    </r>
  </si>
  <si>
    <t>Coeff P2O5/N</t>
  </si>
  <si>
    <r>
      <t xml:space="preserve">2. </t>
    </r>
    <r>
      <rPr>
        <b/>
        <sz val="11"/>
        <color rgb="FFFF0000"/>
        <rFont val="Arial"/>
        <family val="2"/>
      </rPr>
      <t xml:space="preserve">Le bilan apparent des minéraux pour les surfaces en herbe </t>
    </r>
    <r>
      <rPr>
        <b/>
        <sz val="11"/>
        <rFont val="Arial"/>
        <family val="2"/>
      </rPr>
      <t>(type INRA 1992 et Institut de l'Elevage 2000)</t>
    </r>
  </si>
  <si>
    <t>Aliments concentrés utilisés au pâturage</t>
  </si>
  <si>
    <t xml:space="preserve">     - vaches laitières</t>
  </si>
  <si>
    <t xml:space="preserve">     - génisses (élevage et engraissement)</t>
  </si>
  <si>
    <t xml:space="preserve">     - mâles (élevage et engraissement)</t>
  </si>
  <si>
    <t xml:space="preserve">     - vaches réforme</t>
  </si>
  <si>
    <t>* Troupeau laitier</t>
  </si>
  <si>
    <t>* Troupeau allaitant</t>
  </si>
  <si>
    <t xml:space="preserve">     - vaches allaitantes</t>
  </si>
  <si>
    <t>- par mâle issu du troupeau laitier et par an (kg)</t>
  </si>
  <si>
    <t>- par mâle issu du troupeau allaitant et par an (kg)</t>
  </si>
  <si>
    <t>Totaux, kg/ha prairies + légumineuses</t>
  </si>
  <si>
    <t xml:space="preserve">   - production de lait</t>
  </si>
  <si>
    <t>- Luzerne et/ou trèfle violet deshydratés</t>
  </si>
  <si>
    <t>Production animale au pâturage</t>
  </si>
  <si>
    <t>Récapitulation</t>
  </si>
  <si>
    <t>Cult. Fourrag.</t>
  </si>
  <si>
    <t>Total SFP</t>
  </si>
  <si>
    <t>Mode de gestion du pâturage et conséquences: sénescence</t>
  </si>
  <si>
    <t>Si vous la connaissez, entrez la production laitière moyenne au pâturage (kg par vache et par jour)</t>
  </si>
  <si>
    <t>Quels sont vos produits animaux vendus? (élevage ou finis), tonnes par an</t>
  </si>
  <si>
    <t xml:space="preserve">   - production de viande (poids vif)</t>
  </si>
  <si>
    <t>Estimation de la production de viande au pâturage (poids vif)</t>
  </si>
  <si>
    <t>- Troupeau laitier</t>
  </si>
  <si>
    <t>● génisses renouv. (25-30 mois; année 3)</t>
  </si>
  <si>
    <t>- Troupeau allaitant</t>
  </si>
  <si>
    <t>Mise à l'herbe</t>
  </si>
  <si>
    <t>Sortie pâturage</t>
  </si>
  <si>
    <t>Gain de poids du lot</t>
  </si>
  <si>
    <t>Poids vif individuel moyen (kg)</t>
  </si>
  <si>
    <t>Gain de poids vif total --&gt;</t>
  </si>
  <si>
    <t>Totaux, kg par ha prairies + légumineuses</t>
  </si>
  <si>
    <t>Solde par ha de prairies + légumineuses</t>
  </si>
  <si>
    <t>Quantité de concentrés 
par vache (kg/an)</t>
  </si>
  <si>
    <t>dont au pâturage</t>
  </si>
  <si>
    <t>kg/an</t>
  </si>
  <si>
    <t>SFPc (SFP + conc.)</t>
  </si>
  <si>
    <t>Prairies assoc.: 60-80 (en mars)</t>
  </si>
  <si>
    <t>- Rejets directs au pâturage (kg)</t>
  </si>
  <si>
    <t xml:space="preserve">Dose N possible prairies permanentes: </t>
  </si>
  <si>
    <t xml:space="preserve">Dose N possible (tous types de prairies) </t>
  </si>
  <si>
    <t xml:space="preserve">Dose N possible prairies temporaires ou longue durée: </t>
  </si>
  <si>
    <t xml:space="preserve">Dose N possible prairies d'association: </t>
  </si>
  <si>
    <t>● mâles année 1 (hors veaux pour taurillons)</t>
  </si>
  <si>
    <t>● mâles année 2 (hors taurillons)</t>
  </si>
  <si>
    <t>● mâles vendus à :</t>
  </si>
  <si>
    <t>- 28 mois</t>
  </si>
  <si>
    <t>- 30 mois</t>
  </si>
  <si>
    <t>- 33 mois</t>
  </si>
  <si>
    <t>- 36 mois</t>
  </si>
  <si>
    <t>● taureaux de réforme</t>
  </si>
  <si>
    <t>● génisses engraissement année 2</t>
  </si>
  <si>
    <t>● génisses engraissement vendues à :</t>
  </si>
  <si>
    <t>Resu_Bilan</t>
  </si>
  <si>
    <t>Resu_Bilan_Pat</t>
  </si>
  <si>
    <t>Module 3 - Pressions et restitutions NPK annuelles sur les prairies pâturées</t>
  </si>
  <si>
    <t>Module 4 - Préparation du plan annuel d’épandage avec ou sans import/export.</t>
  </si>
  <si>
    <t>Module 5 - Plan de fumure des prairies pures ou d'association</t>
  </si>
  <si>
    <t>Module 9 - Saisie des données nécessaires à l'établissement des Bilans Agronomiques</t>
  </si>
  <si>
    <t xml:space="preserve">Module 10.1 - Approche du bilan agronomique partiel de l'exploitation </t>
  </si>
  <si>
    <t>Totaux par ha de prairies + légumineuses</t>
  </si>
  <si>
    <t>Solde en kg par ha de prairies + légum.</t>
  </si>
  <si>
    <t>- Trèfle &amp; Luzerne récoltés</t>
  </si>
  <si>
    <t>● luzerne (deshydratée uniquement)</t>
  </si>
  <si>
    <t>Ensilages et foins exportés/vendus</t>
  </si>
  <si>
    <t>Type de prairie</t>
  </si>
  <si>
    <t>Permanente</t>
  </si>
  <si>
    <t>Temporaire</t>
  </si>
  <si>
    <t>Tonnes MS / ha</t>
  </si>
  <si>
    <t>N fixé par la prairie</t>
  </si>
  <si>
    <t>kg/ha</t>
  </si>
  <si>
    <t>Cette approche de la fixation de N par les prairies n'est valable qu'en condition de fumure azotée non limitante (50-100 kg / ha)</t>
  </si>
  <si>
    <t>Les 3 tableaux de fertilisation ci-dessus doivent récapituler toutes les doses provenant de Ferti_Prairies et de Ferti_Cultures afin de vérifier en particulier l'utilisation prévue par le plan d'épandage</t>
  </si>
  <si>
    <t xml:space="preserve"> de bovins mixtes</t>
  </si>
  <si>
    <t>Kg N totaux ...................</t>
  </si>
  <si>
    <t>Kg N totaux réservés aux prairies</t>
  </si>
  <si>
    <t>Coefficients (P2O5 ou K2O) / N en fonction de la nature de l'effluent importé</t>
  </si>
  <si>
    <t>dont réservé aux prairies -&gt;</t>
  </si>
  <si>
    <t>Importé réservé aux prairies</t>
  </si>
  <si>
    <t xml:space="preserve">Coeff X/N </t>
  </si>
  <si>
    <r>
      <t>●</t>
    </r>
    <r>
      <rPr>
        <sz val="10"/>
        <rFont val="Arial"/>
        <family val="2"/>
      </rPr>
      <t xml:space="preserve"> Génisses à l'engraissement issues du troupeau laitier</t>
    </r>
  </si>
  <si>
    <t xml:space="preserve">  - Année 1 --------------------------------------------------------------------------------------------------------------------------------------------------------------------------------&gt;</t>
  </si>
  <si>
    <t xml:space="preserve">  - Année 2 --------------------------------------------------------------------------------------------------------------------------------------------------------------------------------&gt;</t>
  </si>
  <si>
    <r>
      <t xml:space="preserve">  -</t>
    </r>
    <r>
      <rPr>
        <sz val="10"/>
        <rFont val="Arial"/>
        <family val="2"/>
      </rPr>
      <t xml:space="preserve"> Année 3, génisses vendues à 30 ou 33 mois: maïs ou herbe?</t>
    </r>
  </si>
  <si>
    <t>AEN_G3LMaHe</t>
  </si>
  <si>
    <t>● Génisses à l'engraissement issues du troupeau allaitant</t>
  </si>
  <si>
    <t>AEN_G3AMaHe</t>
  </si>
  <si>
    <t>&lt;-- Génisses à l'engraissement issues du troupeau laitier: année 3  1=maïs   2=herbe</t>
  </si>
  <si>
    <t>&lt;-- Génisses à l'engraissement issues du troupeau allaitant: année 3  1=maïs   2=herbe</t>
  </si>
  <si>
    <t>Lait Eng An1</t>
  </si>
  <si>
    <t>Lait Eng An2</t>
  </si>
  <si>
    <t>All Eng An1</t>
  </si>
  <si>
    <t>All Eng An2</t>
  </si>
  <si>
    <t>Génisses engraissement issue du troupeau laitier</t>
  </si>
  <si>
    <t>Total génisses engraissement troupeau laitier</t>
  </si>
  <si>
    <t>Génisses engraissement issue du troupeau allaitant</t>
  </si>
  <si>
    <t>Total génisses engraissement troupeau allaitant</t>
  </si>
  <si>
    <t>Génisses eng. Troup. laitier</t>
  </si>
  <si>
    <t>Génisses eng. Troup. Allaitant</t>
  </si>
  <si>
    <t>Veaux vendus à 15 jours</t>
  </si>
  <si>
    <t>Poids moyen, kg</t>
  </si>
  <si>
    <t>AGL: Séquences alimentaires: GENISSES LAITIERES DE RENOUVELLEMENT</t>
  </si>
  <si>
    <t>● Mâles à l'engraissement (hors taurillons)</t>
  </si>
  <si>
    <t>AMA: Séquences alimentaires: ANIMAUX MALES Années 1, 2 et 3</t>
  </si>
  <si>
    <t>Total laitier mâles</t>
  </si>
  <si>
    <t>Total allaitant mâles</t>
  </si>
  <si>
    <t>Total Génisses lait Eng An1-2</t>
  </si>
  <si>
    <t>Total Génisses All Eng An1-2</t>
  </si>
  <si>
    <t>● génisses d'élevage nées sur l'expl. (année 1)</t>
  </si>
  <si>
    <t>● génisses d'élevage achetées à 8-9 mois</t>
  </si>
  <si>
    <t xml:space="preserve">   - mâles année 1 nés sur l'exploitation
      (hors veaux pour taurillons)</t>
  </si>
  <si>
    <t>** dont broutards vendus à 8-9 mois ____________</t>
  </si>
  <si>
    <t>- mâles année 1 achetés à 8-9 mois _________________</t>
  </si>
  <si>
    <t xml:space="preserve">(kg par animal </t>
  </si>
  <si>
    <t>produit par an)</t>
  </si>
  <si>
    <t>Préciser le type et sous-type d'effluent à épandre -----------&gt;</t>
  </si>
  <si>
    <t>Préciser éventuellement un deuxième type et sous-type d'effluent à épandre --------&gt;</t>
  </si>
  <si>
    <t>Si vous voulez épandre les deux types d'effluents sur une même parcelle, faites varier la quantité épandue du premier type 
pour calculer la quantité à épandre du deuxième type</t>
  </si>
  <si>
    <t>Toupie_1: Proportion du premier type d'effluent, controlé par la toupie</t>
  </si>
  <si>
    <t>Toupie_2: Proportion du premier type d'effluent, controlé par la toupie</t>
  </si>
  <si>
    <t>Mois d'engraissement</t>
  </si>
  <si>
    <t>cm</t>
  </si>
  <si>
    <t>m2 par vache et par jour</t>
  </si>
  <si>
    <t>kg par jour et par vache</t>
  </si>
  <si>
    <t>12 à 15</t>
  </si>
  <si>
    <t>13 à 16</t>
  </si>
  <si>
    <t>15 à 17</t>
  </si>
  <si>
    <t>Ce tableau est à utiliser pour connaitre les surfaces à pâturer et satisfaire ces consommations de MS</t>
  </si>
  <si>
    <t>Capacité d’ingestion de MS des animaux en Croissance et Engraissement-Finition</t>
  </si>
  <si>
    <t>Race_Croi</t>
  </si>
  <si>
    <r>
      <t xml:space="preserve">                    Croissance                                </t>
    </r>
    <r>
      <rPr>
        <sz val="10"/>
        <rFont val="Arial"/>
        <family val="2"/>
      </rPr>
      <t>Race</t>
    </r>
  </si>
  <si>
    <t xml:space="preserve">Qualité de l'herbe </t>
  </si>
  <si>
    <t>Hauteur de l'herbe à l'entrée au pâturage</t>
  </si>
  <si>
    <t xml:space="preserve">Surface offerte </t>
  </si>
  <si>
    <t xml:space="preserve">Poids vif, kg </t>
  </si>
  <si>
    <t>Capacité Ingestion</t>
  </si>
  <si>
    <t>UEB (Unité d'Encombrement Bovin)</t>
  </si>
  <si>
    <t>Race_Eng</t>
  </si>
  <si>
    <r>
      <t xml:space="preserve">                    Engraissement - Finition          </t>
    </r>
    <r>
      <rPr>
        <sz val="10"/>
        <rFont val="Arial"/>
        <family val="2"/>
      </rPr>
      <t>Race</t>
    </r>
  </si>
  <si>
    <r>
      <rPr>
        <i/>
        <u/>
        <sz val="9"/>
        <color theme="6" tint="-0.499984740745262"/>
        <rFont val="Arial"/>
        <family val="2"/>
      </rPr>
      <t>léger</t>
    </r>
    <r>
      <rPr>
        <i/>
        <sz val="9"/>
        <color theme="6" tint="-0.499984740745262"/>
        <rFont val="Arial"/>
        <family val="2"/>
      </rPr>
      <t xml:space="preserve">: Limousin, Gasconne,
            Bleu-Blanc Belge, …
</t>
    </r>
    <r>
      <rPr>
        <i/>
        <u/>
        <sz val="9"/>
        <color theme="6" tint="-0.499984740745262"/>
        <rFont val="Arial"/>
        <family val="2"/>
      </rPr>
      <t>moyen</t>
    </r>
    <r>
      <rPr>
        <i/>
        <sz val="9"/>
        <color theme="6" tint="-0.499984740745262"/>
        <rFont val="Arial"/>
        <family val="2"/>
      </rPr>
      <t xml:space="preserve">: Salers, Aubrac, 
              Bazadaise, Blonde, …
</t>
    </r>
    <r>
      <rPr>
        <i/>
        <u/>
        <sz val="9"/>
        <color theme="6" tint="-0.499984740745262"/>
        <rFont val="Arial"/>
        <family val="2"/>
      </rPr>
      <t>lourd</t>
    </r>
    <r>
      <rPr>
        <i/>
        <sz val="9"/>
        <color theme="6" tint="-0.499984740745262"/>
        <rFont val="Arial"/>
        <family val="2"/>
      </rPr>
      <t>: Charolais, Rouge des 
              prés, Parthenaise, …</t>
    </r>
  </si>
  <si>
    <t>● Nombre de veaux laitiers vendus à 15jours</t>
  </si>
  <si>
    <t>Evaluation de l'ingestion d'herbe par les vaches laitières et allaitantes au pâturage</t>
  </si>
  <si>
    <t>UEB en kg MS/j (Unité Encombrement Bovin)</t>
  </si>
  <si>
    <t xml:space="preserve">Ingestion journalière de MS </t>
  </si>
  <si>
    <t>Estimation du lessivage sous prairies en fonction de la minéralisation connue pour votre région</t>
  </si>
  <si>
    <t>Graines et Fourrages riches en azote</t>
  </si>
  <si>
    <t xml:space="preserve">    - dont quantités récoltées en foin, coupe 1</t>
  </si>
  <si>
    <t xml:space="preserve">    - dont quantités récoltées en foin, coupe 2</t>
  </si>
  <si>
    <t xml:space="preserve">  - dont récoltées en foin, coupe 1</t>
  </si>
  <si>
    <t xml:space="preserve">  - dont récoltées en foin, coupe 2</t>
  </si>
  <si>
    <t>Choisir</t>
  </si>
  <si>
    <t>le stade</t>
  </si>
  <si>
    <t>de coupe</t>
  </si>
  <si>
    <t>Coupe 1</t>
  </si>
  <si>
    <t>Précoce</t>
  </si>
  <si>
    <t>Epiaison</t>
  </si>
  <si>
    <t>Tardif</t>
  </si>
  <si>
    <t>Ventilé</t>
  </si>
  <si>
    <t>Coupe 2</t>
  </si>
  <si>
    <t>5 semaines</t>
  </si>
  <si>
    <t>6 semaines</t>
  </si>
  <si>
    <t>permanentes</t>
  </si>
  <si>
    <t>longue durée + temporaire</t>
  </si>
  <si>
    <t>association</t>
  </si>
  <si>
    <r>
      <t xml:space="preserve">1. </t>
    </r>
    <r>
      <rPr>
        <b/>
        <sz val="11"/>
        <color rgb="FFFF0000"/>
        <rFont val="Arial"/>
        <family val="2"/>
      </rPr>
      <t xml:space="preserve">Les balances globales NPK </t>
    </r>
    <r>
      <rPr>
        <b/>
        <sz val="11"/>
        <rFont val="Arial"/>
        <family val="2"/>
      </rPr>
      <t>(type CORPEN)</t>
    </r>
  </si>
  <si>
    <t>K2O à épandre</t>
  </si>
  <si>
    <t xml:space="preserve"> kg de K2O</t>
  </si>
  <si>
    <t>Refus rares et dispersés</t>
  </si>
  <si>
    <t>Refus denses toute parcelle</t>
  </si>
  <si>
    <t>Refus en chaume ou feutrage fréquents</t>
  </si>
  <si>
    <t>● Génisses de renouvellement, vendues pleines ou non</t>
  </si>
  <si>
    <t>● Génisses de renouvellement vendues,
     pleines ou non</t>
  </si>
  <si>
    <t>Bilan apparent, kg</t>
  </si>
  <si>
    <t>La valeur de ce solde varie avec le système de production animale, de 30 à 50 kg N/ha en système herbager extensif (0,5 à 1 UGB/ha SFPc), à 80-100 kg N/ha en système intermédiaire avec peu de maïs ( 1,2 à 1,6 UGB/ha SFPc) et jusqu’à 200 kg N/ha en système bovin intensif(1,8 à 2,5 UGB/ha SFPc). Ce niveau peut être dépassé avec un atelier hors-sol (les exportations de NPK excédentaires sont prévues par le plan d’épandage). Il est même recommandé de faire un bilan particulier pour l’atelier Porcs (BRSPorc) ou volailles (BRSVolailles) pour préciser leur spécificité.</t>
  </si>
  <si>
    <t>Kg/jour non maîtrisables en pâture</t>
  </si>
  <si>
    <t>m3</t>
  </si>
  <si>
    <t>Ces surfaces extérieures, à réduire, matérialisent aussi le niveau de dépendance alimentaire de l’exploitation.</t>
  </si>
  <si>
    <t xml:space="preserve">L’importance des fournitures azotées du sol a été remarquée lors de la préparation des plans de fumure en Ferti-Prairies , Ferti-Cultures et Ferti-SAU : pour cette exploitation, une observation globale rappelle son estimation : </t>
  </si>
  <si>
    <t>Recyclages, en %</t>
  </si>
  <si>
    <t xml:space="preserve">Observations sur les saisies des hors-sol : </t>
  </si>
  <si>
    <t>1/ Les effectifs vont servir à calculer les effluents et les pressions-ha NPK organiques. 
    Si les pressions No et Po sont trop fortes (&gt;140 No/haSAU) ou excédentaires (&gt;170 No/ha), exportation ou traitement 
    sera nécessaire pour équilibrer le Plan d’Epandage en fonction des sols et des besoins des cultures.</t>
  </si>
  <si>
    <t>2/  Le bilan apparent de l’exploitation prend en compte le hors-sol si les achats d’aliments et ses productions 
     sont saisis dans « Saisies_Bilan »  final. Sinon, seul, le bilan apparent de l’élevage bovin sera effectué.</t>
  </si>
  <si>
    <t>Balance globale, kg</t>
  </si>
  <si>
    <t>Devenir des fertilisants N P K organiques des seuls bovins</t>
  </si>
  <si>
    <t>UEL, coefficient d'encombrement VL</t>
  </si>
  <si>
    <t>Système de culture pratiqué -------------------------&gt;
Culture en cours</t>
  </si>
  <si>
    <t>VL: Paramètres du troupeau laitier</t>
  </si>
  <si>
    <t>TA: Paramètres du troupeau allaitant</t>
  </si>
  <si>
    <r>
      <t xml:space="preserve">Surface en jachère ou en réserve écologique </t>
    </r>
    <r>
      <rPr>
        <i/>
        <sz val="10"/>
        <rFont val="Arial"/>
        <family val="2"/>
      </rPr>
      <t>(réserve écologique = bandes enherbées; haies; bosquets, taillis, zones humides, …)</t>
    </r>
  </si>
  <si>
    <t>Surface d'Intérêt Ecologique</t>
  </si>
  <si>
    <t>Autoconsommation</t>
  </si>
  <si>
    <t>Les trois dernières valeurs peuvent varier de 1 à 3, et principalement si  le système de production élève des taurillons  et  finit toutes les vaches de réforme (soit &gt;250 kg céréales/animal/ 90 jours pour un gain de poids de 100kg maximum).</t>
  </si>
  <si>
    <t>APPROCHE DU BILAN AGRONOMIQUE DE L'EXPLOITATION</t>
  </si>
  <si>
    <t xml:space="preserve">Poids vif moyen à l'abattage  </t>
  </si>
  <si>
    <t>N poids vif / N alimentaire</t>
  </si>
  <si>
    <t>N lessivé =25 kg N ou 110 kg N-NO3, soit 36 à 45 mg N-N03/litre eau-sol.</t>
  </si>
  <si>
    <t>N lessivé =37 kg N ou 165 kg N-NO3, soit 55 à 65 mg N-NO3/litre eau.sol
         (avec 125 kg N/ha).</t>
  </si>
  <si>
    <t>Du système fourrager à l'autonomie alimentaire des élevages laitiers et allaitants en maîtrisant</t>
  </si>
  <si>
    <t>les fertilisations et les sources d’excédents NPK par le contrôle des bilans agro-zootechniques de l’exploitation.</t>
  </si>
  <si>
    <r>
      <rPr>
        <b/>
        <sz val="10"/>
        <color rgb="FFC00000"/>
        <rFont val="Arial"/>
        <family val="2"/>
      </rPr>
      <t>Avertissement</t>
    </r>
    <r>
      <rPr>
        <sz val="10"/>
        <color rgb="FFC00000"/>
        <rFont val="Arial"/>
        <family val="2"/>
      </rPr>
      <t xml:space="preserve">
Pour passer des valeurs P2O5 
en P brut, diviser par 2,29.
Pour passer des valeurs Pbrut 
en P2O5, multiplier par 2,29</t>
    </r>
  </si>
  <si>
    <r>
      <rPr>
        <b/>
        <sz val="10"/>
        <color rgb="FFC00000"/>
        <rFont val="Arial"/>
        <family val="2"/>
      </rPr>
      <t>Avertissement</t>
    </r>
    <r>
      <rPr>
        <sz val="10"/>
        <color rgb="FFC00000"/>
        <rFont val="Arial"/>
        <family val="2"/>
      </rPr>
      <t xml:space="preserve">
Pour passer des valeurs P2O5 en P brut, diviser par 2,29.
Pour passer des valeurs K2O en K brut, diviser par 1,2</t>
    </r>
  </si>
  <si>
    <t>Enfin le Programme Bilagreau permet de réaliser de nombreuses simulations concernant l’évolution du système fourrager et des régimes alimentaires associés ou la prévision d’un changement complet, par étape, du système fourrager et des objectifs de l’élevage. Cette recherche personnelle ou collective, tenant compte des contraintes locales, peut ainsi se dérouler en observant à la fois les résultats agro-zootechniques et leurs facteurs-limites, comme le degré d’autonomie, le solde des bilans ou les flux perdus de nutriments NPK par production : la maitrise des sources de pollution peut ainsi se contrôler tout en recherchant le système de production le mieux adapté au terrain et aux objectifs de l’exploitant.</t>
  </si>
  <si>
    <t>De préférence &lt; 20</t>
  </si>
  <si>
    <t>De préférence &lt; 100</t>
  </si>
  <si>
    <t>Maximum agronomique: 
140 kg N/ha</t>
  </si>
  <si>
    <t>Optimum &lt; 160</t>
  </si>
  <si>
    <t>Optimum &gt; 20%</t>
  </si>
  <si>
    <t>Optimum &gt; 10 %</t>
  </si>
  <si>
    <t>De préférence &lt; 1.5 kg</t>
  </si>
  <si>
    <t>Quantités de paille achetées pour les litières (Tonnes de MS)</t>
  </si>
  <si>
    <t>tonnes de MS</t>
  </si>
  <si>
    <t>Litières</t>
  </si>
  <si>
    <t xml:space="preserve">   - bovins (y compris litières)</t>
  </si>
  <si>
    <t>Année 1  (broutard gardé ou acheté)</t>
  </si>
  <si>
    <t>Le déficit fréquent en P205 utile et absorbable (65 %) est généralement annulé par les concentrés et les CMV achetés.</t>
  </si>
  <si>
    <t>La qualité des fourrages selon l'année influence le choix des compléments en UF ou en azote. Les apports de P205 utile des fourrages sont à compléter par le phosphore des CMV et des concentrés correcteurs des rations pratiquées.</t>
  </si>
  <si>
    <t>- par broutarde (kg de la naissance au sevrage)</t>
  </si>
  <si>
    <t>Ne pas dépasser 20kgN/ha avec des lames drainantes faibles de 200-300 mm 
                      et 25-30 kg avec des lames drainantes supérieures à 350 mm.</t>
  </si>
  <si>
    <t>Si les valeurs UGB*jours/ha sont aberrantes ou très élevées, notamment pour les autres bovins d’élevage et d’engraissement, on doit revoir les surfaces attribuées ou s’interroger sur le chargement pratiqué. Par ailleurs, il faut s'assurer du bon emploi des cercles d'option.</t>
  </si>
  <si>
    <t>Si vous connaissez la minéralisation de l'azote sous prairie dans votre région (entre 30 et 200 kg N / ha d'herbe), 
le lessivage potentiel peut être estimé comme suit</t>
  </si>
  <si>
    <t>Le risque Phosphore est à gérer par les analyses de sol, les impasses de fertilisation(en FERTI-SAU) et les exportations ou traitements des effluents des hors-sol.</t>
  </si>
  <si>
    <t>kg N</t>
  </si>
  <si>
    <t>Disponible sur</t>
  </si>
  <si>
    <t>https://www6.inrae.fr/animal_emissions/Outils/Gestion-des-effluents-Bilagreau</t>
  </si>
  <si>
    <t>Taureaux de réforme</t>
  </si>
  <si>
    <t>Taureaux de réforme type viande</t>
  </si>
  <si>
    <t>Taureaux de réforme type lait</t>
  </si>
  <si>
    <t>Génisses de renouvellement vendues</t>
  </si>
  <si>
    <t>Génisses de renouvellement vendues type viande</t>
  </si>
  <si>
    <t>Génisses de renouvellement vendues type lait</t>
  </si>
  <si>
    <t>Génisses de renouvlt vendues type viande</t>
  </si>
  <si>
    <t>● Cultures annuelles épandues</t>
  </si>
  <si>
    <t>● Prairies épandues</t>
  </si>
  <si>
    <t>Surfaces du plan d'épandage (ha)</t>
  </si>
  <si>
    <t>● Autres surfaces potentiellement épandables
   mais non épandues</t>
  </si>
  <si>
    <t>kg/ha SAMO</t>
  </si>
  <si>
    <t xml:space="preserve"> kg P2O5 / ha SAMO</t>
  </si>
  <si>
    <t xml:space="preserve"> kg K2O / ha SAMO</t>
  </si>
  <si>
    <t>Module 1 - Système fourrager, effluents et pressions NPK organiques des SAU,SFP, Prairies, SAMO.</t>
  </si>
  <si>
    <t xml:space="preserve">Module 10.2 - Approche du bilan agronomique partiel pour les surfaces en herbe </t>
  </si>
  <si>
    <t>Le tableau ci-contre à gauche estime l'importance des N P K organiques résiduels (inefficaces de l'année d'épandage).
Les résidus N rejoignent le pool azote organique du sol.
Si les pourcentages dépassent 90% pour P2O5 efficace et 100% pour K2O efficace, il faut revoir à la baisse les doses d'azote organique ou envisager une exportation d'azote organique en raison de l'excés de P2O5 organique (P2O5/N = 0.40 pour les effluents bovins; P2O5/N = 0,60 pour les effluents porcins (fumier, lisier); P2O5/N = 0,95 minimum pour les effluents de volailles). 
P2O5 est en effet efficace à 85% en première saison.</t>
  </si>
  <si>
    <t>Digesta de methanisation liquides</t>
  </si>
  <si>
    <t>Digesta de methanisation solides</t>
  </si>
  <si>
    <t>Digesta de methanisation composts</t>
  </si>
  <si>
    <t>liquides</t>
  </si>
  <si>
    <t>solides</t>
  </si>
  <si>
    <t>composts</t>
  </si>
  <si>
    <t>Digesta méthanisation</t>
  </si>
  <si>
    <t>Ces taux de recyclage vont dépendre de la qualité nutritionnelle des fourrages et de l’azote des concentrés, ce qui influence la teneur MAT du régime et les pertes azotées si cette teneur dépasse 16% MS et 110 g PDI/UFL (Vaches laitières) et 95 g PDI (Vaches allaitantes). Le recyclage du phosphore apparaît toujours assez élevé; cependant, pour éviter l'accumulation des résidus annuels, le plan de fumure est à gérer très juste, accompagné d'impasses fréquentes si les analyses du sol l'autorisent.</t>
  </si>
  <si>
    <t xml:space="preserve"> Quantité d'azote à exporter par ha selon la valeur de la pression élevée de SAMO ci-dessus: </t>
  </si>
  <si>
    <t xml:space="preserve"> kg N / ha SAMO</t>
  </si>
  <si>
    <t>N pluie + N zone (kg/ha)</t>
  </si>
  <si>
    <t>Prévention des excédents de phosphore</t>
  </si>
  <si>
    <t>(en plaine et sol profond)</t>
  </si>
  <si>
    <t>Equilibre souhaitable
 des surfaces 
si SAMO =  SPE</t>
  </si>
  <si>
    <t>Prairies perman. &amp; tempor.: 50 à 75
Légumineuses fourragères: 60 à 90
Céréales: 50 à 85
Maïs grain: 60 à 80;  Maïs fourrage: 55 à 75
Betteraves et pommes de terre: 65 à 90</t>
  </si>
  <si>
    <t>Ces recommendations en azote organique sont à diminuer si les apports de P205 associés dépassent les besoins en P des cultures épandues. Le risque d'excédent de P est surtout possible,voire fréquent, avec les effluents porcins et avicoles.</t>
  </si>
  <si>
    <t>Polyculture + prairies &lt; 60%</t>
  </si>
  <si>
    <t>Polyculture + prairies &gt; 60%</t>
  </si>
  <si>
    <t>Après prairies pâturées de 3-4 ans</t>
  </si>
  <si>
    <t>Après prairies pâturées de 5-6 ans</t>
  </si>
  <si>
    <t>Après prairies pâturées de 7-8 ans</t>
  </si>
  <si>
    <t xml:space="preserve">Valeur de minéralisation </t>
  </si>
  <si>
    <t>fournie par le GREN (kg N / ha) --&gt;</t>
  </si>
  <si>
    <t xml:space="preserve">   Voulez-vous</t>
  </si>
  <si>
    <t>Culture sur légumes industries</t>
  </si>
  <si>
    <t>Culture sur légumes divers</t>
  </si>
  <si>
    <t>Cultures sur légumes industries</t>
  </si>
  <si>
    <t>Cultures sur légumes divers</t>
  </si>
  <si>
    <t>Sols &gt; 80 cm</t>
  </si>
  <si>
    <t>Blé améliorant et blé dur</t>
  </si>
  <si>
    <t>Sorgho grain et ensilage</t>
  </si>
  <si>
    <t>Sols 40 à 80 cm</t>
  </si>
  <si>
    <t>Sols superficiels (&lt; 40 cm)</t>
  </si>
  <si>
    <t>Profondeur du sol</t>
  </si>
  <si>
    <r>
      <t xml:space="preserve">Cette minéralisation est dépendante du climat, des qualités du sol (composition, %MO, profondeur) et des pratiques antérieures : 
aussi, les valeurs retenues ici peuvent  être modifiées de </t>
    </r>
    <r>
      <rPr>
        <b/>
        <sz val="10"/>
        <color rgb="FF336600"/>
        <rFont val="Arial"/>
        <family val="2"/>
      </rPr>
      <t>±</t>
    </r>
    <r>
      <rPr>
        <b/>
        <i/>
        <sz val="10"/>
        <color rgb="FF336600"/>
        <rFont val="Arial"/>
        <family val="2"/>
      </rPr>
      <t xml:space="preserve"> 10 à 25 % selon le complexe local et la place de la culture. 
On peut y substituer les valeurs fournies par le GREN (groupe régional experts azote, Draaf, Dreal)</t>
    </r>
  </si>
  <si>
    <t>REMARQUE : La présentation de cette fiche de fertilisation, d’ordre agronomique, ne doit pas faire oublier les règles officielles, locales ou nationales, notamment pour les cultures installées après labour des prairies temporaires ou de longue durée.</t>
  </si>
  <si>
    <t>Doses brutes P2O5/ha (85% efficacité) selon cultures et rendement potentiel</t>
  </si>
  <si>
    <t>Dose brute N kg/ha</t>
  </si>
  <si>
    <t>ou m3</t>
  </si>
  <si>
    <t>Cette balance approchée en surface de la Sole Herbe conduit à un  indicateur partiel des flux NPK perdus (bruts et efficaces lessivés, volatilisés ou réorganisés-pool.sol) au regard des seuls  produits fourragers. La  valeur de ce solde dépend de la qualité des mesures des apports et des rendements acquis sur place (herbomètre, par exemple), comme pour les balances précédentes. On doit ainsi rechercher un solde minimum qui dépendra cependant du système de la production animale. Ce solde peut être négatif pour les systèmes herbagers extensifs, économes et autonomes, la minéralisation N d’un sol riche en Matière Organique assurant au moins 3 tonnes de MS /ha.</t>
  </si>
  <si>
    <t xml:space="preserve">   - cultures pures(trèfles, luzerne)</t>
  </si>
  <si>
    <t>(kg/tonne ou kg/m3)</t>
  </si>
  <si>
    <t>Cette ressource d’engrais organiques est à la fois une conséquence et une composante  du système de production bovine : leur utilisation raisonnée, à l’année et sur l’assolement, conditionne aussi bien la qualité des fertilisations que la recherche de l’autonomie ou de la qualité du complexe « sol-air-eaux » à entretenir. L’examen des pressions permet de prévoir un plan d’épandage rigoureux sur les cultures et adapté au potentiel des herbages. Au plan agronomique, surtout en cas de hors sol, on peut déjà préparer les quantités de NPK à exporter pour ne pas dépasser 120-140 kg No /ha SAMO en plaine et 80-100 kg No /ha SAMO sur les bons sols de semi-montagne.</t>
  </si>
  <si>
    <t>Le recyclage des nutriments excrétés est à l’origine d’une partie des apports du sol, lesquels se font en deux temps, du fait de la partie efficace-année des N et P disponibles et de celle différée par le pool-sol (année +1 à +3 minimum), conduisant à un recyclage global apparent : ces indicateurs sont estimés à partir des aliments consommés (besoins N P et achetés), et No et Po excrétés par année d’élevage (recyclage bovin seul) :</t>
  </si>
  <si>
    <t>N lessivé =15 kg N, ou 66 kg N-NO3, soit 20 à 25 mg N-NO3/litre eau-sol.</t>
  </si>
  <si>
    <r>
      <t>Enfin, compte tenu des nombreuses observations acquises, notamment  sous climat océanique et le grand OUEST, il est possible de proposer trois niveaux d'excédents d'azote accompagnés d'un exemple "nitrates" pour un lessivage de 20 à 50 % : un exemple est de 30% de l’Azote du solde et 250 à 300 mm de lame drainante (pluie annuelle de 500 à 650 mm):</t>
    </r>
    <r>
      <rPr>
        <b/>
        <i/>
        <sz val="9"/>
        <color rgb="FF3B4A1E"/>
        <rFont val="Arial"/>
        <family val="2"/>
      </rPr>
      <t xml:space="preserve">
</t>
    </r>
  </si>
  <si>
    <t>Les valeurs "Nitrates potentiels" (NO3) s'obtiennent en multipliant les valeurs N par 4,43</t>
  </si>
  <si>
    <t>Influence du niveau de Chargement exprimé en UGB x jours/ha 
sur le lessivage potentiel de l’azote sous pâture</t>
  </si>
  <si>
    <t>la dose totale d'azote ci-contre sera à répartir en 3 ou 4 apports --------------------------&gt;
selon les besoins en herbe et le climat de l'année</t>
  </si>
  <si>
    <t>Les apports de la légumineuse doivent couvrir les besoins en N restant au-delà des 80 kg maximum apportés fin mars</t>
  </si>
  <si>
    <t>Dose conseillée: 60-80 kg N /ha en mars selon le sol</t>
  </si>
  <si>
    <r>
      <t xml:space="preserve">Les résultats de ce Bilan dit Apparent, mais global de l’exploitation, se propose de qualifier le niveau des excédents NPK grâce à la comparaison des intrants et des NPK produits, végétaux et  animaux, sortis de l’exploitation. Cette dernière est considérée comme une «  boite noire » dont on va évaluer les restes NPK positifs ou négatifs (rarement) des flux totaux mis en jeu. </t>
    </r>
    <r>
      <rPr>
        <b/>
        <i/>
        <sz val="10"/>
        <color rgb="FF0000FF"/>
        <rFont val="Arial"/>
        <family val="2"/>
      </rPr>
      <t>Ainsi ce solde représente des résidus stockés mais disponibles (PK), réorganisés dans le sol ou volatilisés (N), ou lessivables comme l’Azote ( 20 à 50 % du solde)</t>
    </r>
    <r>
      <rPr>
        <b/>
        <i/>
        <sz val="10"/>
        <color rgb="FF3B4A1E"/>
        <rFont val="Arial"/>
        <family val="2"/>
      </rPr>
      <t>. Ces résultats ne sont donc pas comparables à ceux des balances de caractère partiel, comme le montrent les indices d’efficacité ou de pertes NPK du système de production.</t>
    </r>
  </si>
  <si>
    <t xml:space="preserve">   -excédent à surveiller : N &lt;50 kg/ha (P205 &lt; 12 kg/ha):</t>
  </si>
  <si>
    <t xml:space="preserve">  - excédent à réduire : 50-90 kg N/ha (P205 &lt; 16 kg/ha):</t>
  </si>
  <si>
    <t xml:space="preserve">  - excédent élevé : &gt; 100 kg N/ha (P205 &lt; 20 kg/ha):</t>
  </si>
  <si>
    <t>Ce bilan apparent vise à évaluer, à la fin d’un  cycle de production, la qualité de gestion des prairies et des animaux : le solde représente « le risque excédentaire » et les indices d’efficacité des NPK (conversion) et des pertes intra-système matérialisent la qualité des pratiques liées au système étudié. 
Un bilan satisfaisant en système peu intensif (1,4 à 1,6 UGB/ha SFP) se situe entre 70 et 100 kg N /ha avec une conversion de 25 à 30 % pour l’azote ; il pourra s’améliorer en système herbager économe avec un solde de 40 à 60 kg N/ha et une conversion N de 30 à 35 %, notamment pour le lait. Bien entendu, il n’est pas possible de comparer ces résultats avec ceux de la balance précédente ; on examinera cependant si ce bilan de la Sole en Herbe a tendance à influencer, ou non, le Bilan Apparent du système de l’Exploitation, ce qui suppose une bonne précision de la mesure des intrants et des productions de l’exploitation.</t>
  </si>
  <si>
    <t>Surface toutes prairies, % SAU nette</t>
  </si>
  <si>
    <t>dont prairies permanentes, % SAU nette</t>
  </si>
  <si>
    <t>Surf. légumin. &amp; protéag., % SAU nette</t>
  </si>
  <si>
    <t>● trèfle violet (vert, foin, ensilage)</t>
  </si>
  <si>
    <t>● luzerne (vert, foin, ensilage)</t>
  </si>
  <si>
    <t>● toutes luzernes et trèfles récoltés</t>
  </si>
  <si>
    <t xml:space="preserve">    - maïs &amp; sorgho, grain</t>
  </si>
  <si>
    <t>N, kg/ha</t>
  </si>
  <si>
    <t>NO3, kg/ha</t>
  </si>
  <si>
    <t>Examen du Bilan Fourrager de l'année ou d'un Bilan Prévisionnel par simulation en MS,Energie ou Azote</t>
  </si>
  <si>
    <t>(UGB*jpp / ha)</t>
  </si>
  <si>
    <t>passé au pâturage</t>
  </si>
  <si>
    <t>Part du temps</t>
  </si>
  <si>
    <t>(10 à 30 kg N / ha selon les régions)</t>
  </si>
  <si>
    <t>(soit 40 à 80 kg d'azote efficace à l'ha)</t>
  </si>
  <si>
    <t>Recyclage année 1 (N et P2O5 efficaces)</t>
  </si>
  <si>
    <t>Recyclage global (Norg et P2O5org totaux)</t>
  </si>
  <si>
    <t>La fiabilité des résultats de ce module est liée à la qualité du bilan fourrager (précision des rendements bruts MS/ha), à l’adéquation entre qualité nutritive des fourrages et capacité de consommation des types d’animaux vis-à-vis des références utilisées (INRA 2007/2011) et  à la connaissance des stocks et des achats effectués. Par ailleurs, les besoins MS/UGB des troupeaux actuels avoisinent 5,5/6 tonnes et non 4,5/5 tonnes comme auparavant. Enfin les taux de pertes minimum ont été arrétés à 10, 15, 20%. respectivement pour les ensilages, le foin et le pâturage, récoltés ou conduit au mieux (MSu=MS utile).</t>
  </si>
  <si>
    <t>En plus de leurs avantages agroécologiques, les prairies offrent la possibilité de couvrir 90-95 % des besoins en énergie et au minimum 75-80 % des besoins en azote selon le système herbager ou intermédiaire ; les prairies d’association et complexes confortent alors un des caractères majeurs de la durabilité du système, qui est la permanence de la source protéique.</t>
  </si>
  <si>
    <t>Les soldes de cette Balance , appelée « sol-surface », sont considérés comme des indicateurs simples et pratiques des pertes d’excédents résultant de la comparaison « entrées - sorties brutes » sans apports du sol. De nombreux biais affectent la construction de cette balance (qualité des mesures, des analyses d’effluents, des pratiques locales, gestion alimentaire ou des fumures) : une balance par sole, chaque année , faciliterait les interprétations. De plus, la balance peut être négative (systèmes bio ou autonomes-économes), par défaut des mesures, ou contribution du sol à combler les besoins des végétaux en cas de défaut de fumure. Ce solde est alors à compléter par l’examen des pressions azotée et phosphorée de la Samo en premier, des reliquats (mars et octobre), de la valeur « NPKorganique/ugb » , … des eaux du puits, et des minéralisations des zones semblables au plan agroécologique.</t>
  </si>
  <si>
    <t>Coefficient d’équivalence  « engrais minéral » en efficacité de Norg. : a-après épandage et b- en fin de cycle sur la sole</t>
  </si>
  <si>
    <t>Bovins a/b</t>
  </si>
  <si>
    <t>0.15/0.25</t>
  </si>
  <si>
    <t>0.10/0.15</t>
  </si>
  <si>
    <t>0.30/0.50</t>
  </si>
  <si>
    <t>Boues</t>
  </si>
  <si>
    <t>a/b</t>
  </si>
  <si>
    <t>Digestats métha.</t>
  </si>
  <si>
    <t>0.20/0.40</t>
  </si>
  <si>
    <t>0.15/0.35</t>
  </si>
  <si>
    <t>0.50/0.60</t>
  </si>
  <si>
    <t>0.30/0.55</t>
  </si>
  <si>
    <t>0.40/0.60</t>
  </si>
  <si>
    <t>0.15/0.40</t>
  </si>
  <si>
    <t>0.05/0.10</t>
  </si>
  <si>
    <t>0.25/0.45</t>
  </si>
  <si>
    <t>Les pressions au pâturage sont incluses dans celles de la SAU (normes officielles 2011-2016). Les paramètres P2O5 et K2O, non officiels, sont cependant en cohérence avec les valeurs Azote réglementaires. Tenir compte de la part du hors-sol pour prévoir l’export de N dans le plan d’épandage.</t>
  </si>
  <si>
    <t>* Le bilan prévisionnel de la fertilisation annuelle des prairies utilisera ces résultats dans les entrées NPK organiques efficaces (restitutions au pâturage). Les coefficients d’équivalence en efficacité « engrais » des rejets NPK/an au pâturage ont été respectivement de 0,25 pour N,  0,85 et 1,0 pour P205 et K20.</t>
  </si>
  <si>
    <t>0.83=20 h/24 h</t>
  </si>
  <si>
    <t>Pays de Loire</t>
  </si>
  <si>
    <t>temporaires</t>
  </si>
  <si>
    <t>céréales</t>
  </si>
  <si>
    <t>mais- fourrage</t>
  </si>
  <si>
    <t>Normande et Limousine</t>
  </si>
  <si>
    <t>exploitation V.lait+V.All-Broutards</t>
  </si>
  <si>
    <t>pois protéag.</t>
  </si>
  <si>
    <t>si mais après herbe</t>
  </si>
  <si>
    <t>Version 7 mise à jour le 19 juillet 2021</t>
  </si>
  <si>
    <t xml:space="preserve">Ces achats  sont à comparer avec le déficit ou l'excédent entre  Besoins totaux et Production Fourragére totale (page Autonomie) pour analyser les pratiques de la complémentation énergétique, azotée et phosphorée du troupeau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</si>
</sst>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 formatCode="#,##0.00\ &quot;€&quot;;[Red]\-#,##0.00\ &quot;€&quot;"/>
    <numFmt numFmtId="164" formatCode="0.0%"/>
    <numFmt numFmtId="165" formatCode="0.0"/>
    <numFmt numFmtId="166" formatCode="0.0000"/>
    <numFmt numFmtId="167" formatCode="0.000"/>
    <numFmt numFmtId="168" formatCode="#,##0.0"/>
    <numFmt numFmtId="169" formatCode="#,##0.000"/>
    <numFmt numFmtId="170" formatCode="0.0000000"/>
  </numFmts>
  <fonts count="115" x14ac:knownFonts="1">
    <font>
      <sz val="10"/>
      <name val="Arial"/>
    </font>
    <font>
      <sz val="11"/>
      <color theme="1"/>
      <name val="Calibri"/>
      <family val="2"/>
      <scheme val="minor"/>
    </font>
    <font>
      <sz val="11"/>
      <color theme="1"/>
      <name val="Calibri"/>
      <family val="2"/>
      <scheme val="minor"/>
    </font>
    <font>
      <sz val="10"/>
      <name val="Arial"/>
      <family val="2"/>
    </font>
    <font>
      <u/>
      <sz val="10"/>
      <color indexed="12"/>
      <name val="Arial"/>
      <family val="2"/>
    </font>
    <font>
      <b/>
      <sz val="10"/>
      <name val="Arial"/>
      <family val="2"/>
    </font>
    <font>
      <sz val="10"/>
      <name val="Arial"/>
      <family val="2"/>
    </font>
    <font>
      <b/>
      <sz val="12"/>
      <name val="Arial"/>
      <family val="2"/>
    </font>
    <font>
      <sz val="10"/>
      <color indexed="10"/>
      <name val="Arial"/>
      <family val="2"/>
    </font>
    <font>
      <sz val="10"/>
      <color indexed="12"/>
      <name val="Arial"/>
      <family val="2"/>
    </font>
    <font>
      <b/>
      <sz val="10"/>
      <color indexed="10"/>
      <name val="Arial"/>
      <family val="2"/>
    </font>
    <font>
      <i/>
      <sz val="10"/>
      <name val="Arial"/>
      <family val="2"/>
    </font>
    <font>
      <b/>
      <i/>
      <sz val="10"/>
      <name val="Arial"/>
      <family val="2"/>
    </font>
    <font>
      <b/>
      <sz val="10"/>
      <color indexed="12"/>
      <name val="Arial"/>
      <family val="2"/>
    </font>
    <font>
      <sz val="8"/>
      <name val="Arial"/>
      <family val="2"/>
    </font>
    <font>
      <sz val="10"/>
      <color indexed="10"/>
      <name val="Arial"/>
      <family val="2"/>
    </font>
    <font>
      <b/>
      <sz val="11"/>
      <name val="Arial"/>
      <family val="2"/>
    </font>
    <font>
      <i/>
      <sz val="10"/>
      <color indexed="10"/>
      <name val="Arial"/>
      <family val="2"/>
    </font>
    <font>
      <b/>
      <sz val="14"/>
      <color indexed="12"/>
      <name val="Arial"/>
      <family val="2"/>
    </font>
    <font>
      <i/>
      <sz val="10"/>
      <color indexed="57"/>
      <name val="Arial"/>
      <family val="2"/>
    </font>
    <font>
      <i/>
      <sz val="10"/>
      <color indexed="17"/>
      <name val="Arial"/>
      <family val="2"/>
    </font>
    <font>
      <b/>
      <u/>
      <sz val="10"/>
      <color indexed="12"/>
      <name val="Arial"/>
      <family val="2"/>
    </font>
    <font>
      <b/>
      <sz val="12"/>
      <color indexed="10"/>
      <name val="Arial"/>
      <family val="2"/>
    </font>
    <font>
      <b/>
      <sz val="16"/>
      <name val="Arial"/>
      <family val="2"/>
    </font>
    <font>
      <b/>
      <sz val="14"/>
      <name val="Arial"/>
      <family val="2"/>
    </font>
    <font>
      <i/>
      <sz val="8"/>
      <color indexed="10"/>
      <name val="Arial"/>
      <family val="2"/>
    </font>
    <font>
      <sz val="8"/>
      <name val="Arial"/>
      <family val="2"/>
    </font>
    <font>
      <sz val="10"/>
      <name val="Wingdings"/>
      <charset val="2"/>
    </font>
    <font>
      <sz val="10"/>
      <color indexed="12"/>
      <name val="Arial"/>
      <family val="2"/>
    </font>
    <font>
      <sz val="8"/>
      <color rgb="FF000000"/>
      <name val="Tahoma"/>
      <family val="2"/>
    </font>
    <font>
      <b/>
      <i/>
      <sz val="10"/>
      <color theme="6" tint="-0.499984740745262"/>
      <name val="Arial"/>
      <family val="2"/>
    </font>
    <font>
      <b/>
      <sz val="10"/>
      <color theme="6" tint="-0.499984740745262"/>
      <name val="Arial"/>
      <family val="2"/>
    </font>
    <font>
      <i/>
      <sz val="10"/>
      <color rgb="FFFF0000"/>
      <name val="Arial"/>
      <family val="2"/>
    </font>
    <font>
      <b/>
      <sz val="10"/>
      <color rgb="FFFF0000"/>
      <name val="Arial"/>
      <family val="2"/>
    </font>
    <font>
      <b/>
      <i/>
      <sz val="10"/>
      <color rgb="FF336600"/>
      <name val="Arial"/>
      <family val="2"/>
    </font>
    <font>
      <b/>
      <sz val="10"/>
      <color rgb="FF336600"/>
      <name val="Arial"/>
      <family val="2"/>
    </font>
    <font>
      <b/>
      <sz val="10"/>
      <color theme="3"/>
      <name val="Arial"/>
      <family val="2"/>
    </font>
    <font>
      <b/>
      <u/>
      <sz val="10"/>
      <name val="Arial"/>
      <family val="2"/>
    </font>
    <font>
      <sz val="10"/>
      <color theme="5" tint="-0.249977111117893"/>
      <name val="Arial"/>
      <family val="2"/>
    </font>
    <font>
      <sz val="10"/>
      <color rgb="FFFF0000"/>
      <name val="Arial"/>
      <family val="2"/>
    </font>
    <font>
      <i/>
      <sz val="10"/>
      <color theme="6" tint="-0.499984740745262"/>
      <name val="Arial"/>
      <family val="2"/>
    </font>
    <font>
      <sz val="11"/>
      <name val="Arial"/>
      <family val="2"/>
    </font>
    <font>
      <sz val="9"/>
      <name val="Arial"/>
      <family val="2"/>
    </font>
    <font>
      <b/>
      <sz val="18"/>
      <name val="Arial"/>
      <family val="2"/>
    </font>
    <font>
      <sz val="10"/>
      <color theme="6" tint="-0.499984740745262"/>
      <name val="Arial"/>
      <family val="2"/>
    </font>
    <font>
      <b/>
      <sz val="11"/>
      <color theme="1"/>
      <name val="Calibri"/>
      <family val="2"/>
      <scheme val="minor"/>
    </font>
    <font>
      <b/>
      <i/>
      <sz val="12"/>
      <color theme="1"/>
      <name val="Calibri"/>
      <family val="2"/>
      <scheme val="minor"/>
    </font>
    <font>
      <i/>
      <sz val="10"/>
      <color theme="1"/>
      <name val="Calibri"/>
      <family val="2"/>
      <scheme val="minor"/>
    </font>
    <font>
      <i/>
      <sz val="11"/>
      <color theme="1"/>
      <name val="Calibri"/>
      <family val="2"/>
      <scheme val="minor"/>
    </font>
    <font>
      <b/>
      <u/>
      <sz val="8"/>
      <color theme="1"/>
      <name val="Calibri"/>
      <family val="2"/>
      <scheme val="minor"/>
    </font>
    <font>
      <sz val="8"/>
      <color theme="1"/>
      <name val="Calibri"/>
      <family val="2"/>
      <scheme val="minor"/>
    </font>
    <font>
      <b/>
      <u/>
      <sz val="11"/>
      <color indexed="12"/>
      <name val="Arial"/>
      <family val="2"/>
    </font>
    <font>
      <b/>
      <sz val="14"/>
      <color theme="1"/>
      <name val="Arial"/>
      <family val="2"/>
    </font>
    <font>
      <b/>
      <u/>
      <sz val="14"/>
      <color indexed="12"/>
      <name val="Arial"/>
      <family val="2"/>
    </font>
    <font>
      <b/>
      <i/>
      <u/>
      <sz val="11"/>
      <color indexed="12"/>
      <name val="Arial"/>
      <family val="2"/>
    </font>
    <font>
      <b/>
      <sz val="16"/>
      <color theme="1"/>
      <name val="Arial"/>
      <family val="2"/>
    </font>
    <font>
      <b/>
      <sz val="10"/>
      <color theme="9" tint="-0.499984740745262"/>
      <name val="Arial"/>
      <family val="2"/>
    </font>
    <font>
      <sz val="10"/>
      <color theme="9" tint="-0.499984740745262"/>
      <name val="Arial"/>
      <family val="2"/>
    </font>
    <font>
      <sz val="14"/>
      <name val="Arial"/>
      <family val="2"/>
    </font>
    <font>
      <sz val="8"/>
      <color rgb="FF000000"/>
      <name val="Segoe UI"/>
      <family val="2"/>
    </font>
    <font>
      <b/>
      <i/>
      <sz val="10"/>
      <color rgb="FF0000FF"/>
      <name val="Arial"/>
      <family val="2"/>
    </font>
    <font>
      <b/>
      <i/>
      <sz val="10"/>
      <color theme="1"/>
      <name val="Arial"/>
      <family val="2"/>
    </font>
    <font>
      <sz val="10"/>
      <color rgb="FFE7FFFF"/>
      <name val="Arial"/>
      <family val="2"/>
    </font>
    <font>
      <sz val="10"/>
      <color theme="8" tint="-0.499984740745262"/>
      <name val="Arial"/>
      <family val="2"/>
    </font>
    <font>
      <i/>
      <sz val="10"/>
      <color theme="8" tint="-0.499984740745262"/>
      <name val="Arial"/>
      <family val="2"/>
    </font>
    <font>
      <sz val="10"/>
      <color theme="7" tint="-0.499984740745262"/>
      <name val="Arial"/>
      <family val="2"/>
    </font>
    <font>
      <b/>
      <sz val="10"/>
      <color theme="7" tint="-0.499984740745262"/>
      <name val="Arial"/>
      <family val="2"/>
    </font>
    <font>
      <b/>
      <sz val="10"/>
      <color theme="8" tint="-0.499984740745262"/>
      <name val="Arial"/>
      <family val="2"/>
    </font>
    <font>
      <b/>
      <sz val="14"/>
      <color theme="8" tint="-0.499984740745262"/>
      <name val="Arial"/>
      <family val="2"/>
    </font>
    <font>
      <b/>
      <i/>
      <sz val="12"/>
      <color theme="6" tint="-0.499984740745262"/>
      <name val="Arial"/>
      <family val="2"/>
    </font>
    <font>
      <i/>
      <sz val="10"/>
      <color theme="0"/>
      <name val="Arial"/>
      <family val="2"/>
    </font>
    <font>
      <b/>
      <sz val="11"/>
      <color theme="6" tint="-0.499984740745262"/>
      <name val="Arial"/>
      <family val="2"/>
    </font>
    <font>
      <b/>
      <i/>
      <sz val="12"/>
      <color rgb="FF0000FF"/>
      <name val="Arial"/>
      <family val="2"/>
    </font>
    <font>
      <b/>
      <sz val="12"/>
      <color rgb="FF0000FF"/>
      <name val="Arial"/>
      <family val="2"/>
    </font>
    <font>
      <b/>
      <i/>
      <sz val="14"/>
      <color rgb="FF0000FF"/>
      <name val="Arial"/>
      <family val="2"/>
    </font>
    <font>
      <sz val="10"/>
      <color rgb="FF0000FF"/>
      <name val="Arial"/>
      <family val="2"/>
    </font>
    <font>
      <b/>
      <u/>
      <sz val="12"/>
      <color indexed="12"/>
      <name val="Arial"/>
      <family val="2"/>
    </font>
    <font>
      <b/>
      <u/>
      <sz val="11"/>
      <name val="Arial"/>
      <family val="2"/>
    </font>
    <font>
      <b/>
      <u/>
      <sz val="11"/>
      <color rgb="FFFF0000"/>
      <name val="Arial"/>
      <family val="2"/>
    </font>
    <font>
      <b/>
      <sz val="11"/>
      <color rgb="FFFF0000"/>
      <name val="Arial"/>
      <family val="2"/>
    </font>
    <font>
      <b/>
      <i/>
      <sz val="10"/>
      <color rgb="FF3B4A1E"/>
      <name val="Arial"/>
      <family val="2"/>
    </font>
    <font>
      <i/>
      <sz val="10"/>
      <color rgb="FF0000FF"/>
      <name val="Arial"/>
      <family val="2"/>
    </font>
    <font>
      <b/>
      <u/>
      <sz val="11"/>
      <color theme="6" tint="-0.499984740745262"/>
      <name val="Arial"/>
      <family val="2"/>
    </font>
    <font>
      <b/>
      <sz val="12"/>
      <color theme="8" tint="-0.499984740745262"/>
      <name val="Arial"/>
      <family val="2"/>
    </font>
    <font>
      <sz val="12"/>
      <color theme="8" tint="-0.499984740745262"/>
      <name val="Arial"/>
      <family val="2"/>
    </font>
    <font>
      <sz val="14"/>
      <color theme="8" tint="-0.499984740745262"/>
      <name val="Arial"/>
      <family val="2"/>
    </font>
    <font>
      <b/>
      <sz val="12"/>
      <color rgb="FFFF0000"/>
      <name val="Arial"/>
      <family val="2"/>
    </font>
    <font>
      <b/>
      <sz val="16"/>
      <color rgb="FFFF0000"/>
      <name val="Arial"/>
      <family val="2"/>
    </font>
    <font>
      <b/>
      <sz val="18"/>
      <color rgb="FFFF0000"/>
      <name val="Arial"/>
      <family val="2"/>
    </font>
    <font>
      <b/>
      <sz val="16"/>
      <color indexed="10"/>
      <name val="Arial"/>
      <family val="2"/>
    </font>
    <font>
      <b/>
      <sz val="14"/>
      <color indexed="10"/>
      <name val="Arial"/>
      <family val="2"/>
    </font>
    <font>
      <b/>
      <sz val="14"/>
      <color rgb="FF0000FF"/>
      <name val="Arial"/>
      <family val="2"/>
    </font>
    <font>
      <b/>
      <u/>
      <sz val="16"/>
      <color indexed="12"/>
      <name val="Arial"/>
      <family val="2"/>
    </font>
    <font>
      <b/>
      <sz val="20"/>
      <color theme="6" tint="-0.499984740745262"/>
      <name val="Arial"/>
      <family val="2"/>
    </font>
    <font>
      <i/>
      <sz val="9"/>
      <color theme="6" tint="-0.499984740745262"/>
      <name val="Arial"/>
      <family val="2"/>
    </font>
    <font>
      <i/>
      <u/>
      <sz val="9"/>
      <color theme="6" tint="-0.499984740745262"/>
      <name val="Arial"/>
      <family val="2"/>
    </font>
    <font>
      <i/>
      <sz val="9"/>
      <color rgb="FFFF0000"/>
      <name val="Arial"/>
      <family val="2"/>
    </font>
    <font>
      <sz val="10"/>
      <color theme="1"/>
      <name val="Arial"/>
      <family val="2"/>
    </font>
    <font>
      <b/>
      <i/>
      <sz val="9"/>
      <color rgb="FF3B4A1E"/>
      <name val="Arial"/>
      <family val="2"/>
    </font>
    <font>
      <sz val="11"/>
      <color rgb="FFD60093"/>
      <name val="Arial"/>
      <family val="2"/>
    </font>
    <font>
      <sz val="12"/>
      <color rgb="FFD60093"/>
      <name val="Arial"/>
      <family val="2"/>
    </font>
    <font>
      <b/>
      <sz val="16"/>
      <color rgb="FF008000"/>
      <name val="Arial"/>
      <family val="2"/>
    </font>
    <font>
      <b/>
      <sz val="16"/>
      <color rgb="FF339966"/>
      <name val="Arial"/>
      <family val="2"/>
    </font>
    <font>
      <b/>
      <sz val="10"/>
      <color rgb="FF0000FF"/>
      <name val="Arial"/>
      <family val="2"/>
    </font>
    <font>
      <sz val="10"/>
      <color rgb="FFC00000"/>
      <name val="Arial"/>
      <family val="2"/>
    </font>
    <font>
      <b/>
      <sz val="10"/>
      <color rgb="FFC00000"/>
      <name val="Arial"/>
      <family val="2"/>
    </font>
    <font>
      <sz val="16"/>
      <color theme="1"/>
      <name val="Calibri"/>
      <family val="2"/>
      <scheme val="minor"/>
    </font>
    <font>
      <u/>
      <sz val="16"/>
      <color indexed="12"/>
      <name val="Calibri"/>
      <family val="2"/>
      <scheme val="minor"/>
    </font>
    <font>
      <i/>
      <sz val="16"/>
      <color theme="1"/>
      <name val="Calibri"/>
      <family val="2"/>
      <scheme val="minor"/>
    </font>
    <font>
      <b/>
      <u/>
      <sz val="18"/>
      <color theme="1"/>
      <name val="Calibri"/>
      <family val="2"/>
      <scheme val="minor"/>
    </font>
    <font>
      <b/>
      <sz val="20"/>
      <color theme="1"/>
      <name val="Calibri"/>
      <family val="2"/>
      <scheme val="minor"/>
    </font>
    <font>
      <u/>
      <sz val="11"/>
      <color indexed="12"/>
      <name val="Arial"/>
      <family val="2"/>
    </font>
    <font>
      <b/>
      <sz val="10"/>
      <color theme="4" tint="-0.249977111117893"/>
      <name val="Arial"/>
      <family val="2"/>
    </font>
    <font>
      <i/>
      <sz val="12"/>
      <color theme="9" tint="-0.499984740745262"/>
      <name val="Arial"/>
      <family val="2"/>
    </font>
    <font>
      <b/>
      <i/>
      <sz val="10"/>
      <color rgb="FFFF0000"/>
      <name val="Arial"/>
      <family val="2"/>
    </font>
  </fonts>
  <fills count="42">
    <fill>
      <patternFill patternType="none"/>
    </fill>
    <fill>
      <patternFill patternType="gray125"/>
    </fill>
    <fill>
      <patternFill patternType="solid">
        <fgColor indexed="47"/>
        <bgColor indexed="64"/>
      </patternFill>
    </fill>
    <fill>
      <patternFill patternType="solid">
        <fgColor indexed="55"/>
        <bgColor indexed="64"/>
      </patternFill>
    </fill>
    <fill>
      <patternFill patternType="solid">
        <fgColor indexed="22"/>
        <bgColor indexed="64"/>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indexed="52"/>
        <bgColor indexed="64"/>
      </patternFill>
    </fill>
    <fill>
      <patternFill patternType="solid">
        <fgColor indexed="13"/>
        <bgColor indexed="64"/>
      </patternFill>
    </fill>
    <fill>
      <patternFill patternType="solid">
        <fgColor indexed="46"/>
        <bgColor indexed="64"/>
      </patternFill>
    </fill>
    <fill>
      <patternFill patternType="solid">
        <fgColor indexed="45"/>
        <bgColor indexed="64"/>
      </patternFill>
    </fill>
    <fill>
      <patternFill patternType="solid">
        <fgColor indexed="23"/>
        <bgColor indexed="64"/>
      </patternFill>
    </fill>
    <fill>
      <patternFill patternType="solid">
        <fgColor indexed="40"/>
        <bgColor indexed="64"/>
      </patternFill>
    </fill>
    <fill>
      <patternFill patternType="solid">
        <fgColor indexed="8"/>
        <bgColor indexed="64"/>
      </patternFill>
    </fill>
    <fill>
      <patternFill patternType="solid">
        <fgColor indexed="41"/>
        <bgColor indexed="64"/>
      </patternFill>
    </fill>
    <fill>
      <patternFill patternType="solid">
        <fgColor indexed="11"/>
        <bgColor indexed="64"/>
      </patternFill>
    </fill>
    <fill>
      <patternFill patternType="lightGray">
        <bgColor indexed="9"/>
      </patternFill>
    </fill>
    <fill>
      <patternFill patternType="solid">
        <fgColor rgb="FFCC99FF"/>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00FF00"/>
        <bgColor indexed="64"/>
      </patternFill>
    </fill>
    <fill>
      <patternFill patternType="solid">
        <fgColor rgb="FFCCFFCC"/>
        <bgColor indexed="64"/>
      </patternFill>
    </fill>
    <fill>
      <patternFill patternType="solid">
        <fgColor rgb="FFFFFF99"/>
        <bgColor indexed="64"/>
      </patternFill>
    </fill>
    <fill>
      <patternFill patternType="solid">
        <fgColor rgb="FFFFFF66"/>
        <bgColor indexed="64"/>
      </patternFill>
    </fill>
    <fill>
      <patternFill patternType="solid">
        <fgColor rgb="FFFFCC99"/>
        <bgColor indexed="64"/>
      </patternFill>
    </fill>
    <fill>
      <patternFill patternType="solid">
        <fgColor rgb="FF00B0F0"/>
        <bgColor indexed="64"/>
      </patternFill>
    </fill>
    <fill>
      <patternFill patternType="solid">
        <fgColor theme="0" tint="-0.499984740745262"/>
        <bgColor indexed="64"/>
      </patternFill>
    </fill>
    <fill>
      <patternFill patternType="solid">
        <fgColor rgb="FFFF99CC"/>
        <bgColor indexed="64"/>
      </patternFill>
    </fill>
    <fill>
      <patternFill patternType="solid">
        <fgColor theme="9" tint="0.59999389629810485"/>
        <bgColor indexed="64"/>
      </patternFill>
    </fill>
    <fill>
      <patternFill patternType="solid">
        <fgColor rgb="FFFF99FF"/>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1" tint="0.34998626667073579"/>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7C80"/>
        <bgColor indexed="64"/>
      </patternFill>
    </fill>
    <fill>
      <patternFill patternType="solid">
        <fgColor rgb="FFFFCC00"/>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right style="thick">
        <color indexed="10"/>
      </right>
      <top/>
      <bottom/>
      <diagonal/>
    </border>
    <border>
      <left style="thick">
        <color indexed="64"/>
      </left>
      <right style="thin">
        <color indexed="64"/>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indexed="64"/>
      </left>
      <right/>
      <top style="thick">
        <color indexed="64"/>
      </top>
      <bottom/>
      <diagonal/>
    </border>
    <border>
      <left style="thin">
        <color indexed="64"/>
      </left>
      <right style="thin">
        <color indexed="64"/>
      </right>
      <top style="thick">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right style="thick">
        <color indexed="64"/>
      </right>
      <top style="thick">
        <color indexed="64"/>
      </top>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bottom/>
      <diagonal/>
    </border>
    <border>
      <left style="thin">
        <color indexed="64"/>
      </left>
      <right style="thick">
        <color indexed="64"/>
      </right>
      <top/>
      <bottom style="thick">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bottom/>
      <diagonal/>
    </border>
    <border>
      <left/>
      <right style="thick">
        <color indexed="64"/>
      </right>
      <top style="thin">
        <color indexed="64"/>
      </top>
      <bottom style="thin">
        <color indexed="64"/>
      </bottom>
      <diagonal/>
    </border>
    <border>
      <left style="thin">
        <color indexed="64"/>
      </left>
      <right style="thin">
        <color indexed="64"/>
      </right>
      <top style="dotted">
        <color indexed="64"/>
      </top>
      <bottom/>
      <diagonal/>
    </border>
    <border>
      <left/>
      <right style="thick">
        <color indexed="64"/>
      </right>
      <top style="dotted">
        <color indexed="64"/>
      </top>
      <bottom/>
      <diagonal/>
    </border>
    <border>
      <left style="thick">
        <color indexed="64"/>
      </left>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bottom style="dotted">
        <color indexed="64"/>
      </bottom>
      <diagonal/>
    </border>
    <border>
      <left/>
      <right style="thick">
        <color indexed="64"/>
      </right>
      <top/>
      <bottom style="dotted">
        <color indexed="64"/>
      </bottom>
      <diagonal/>
    </border>
    <border>
      <left style="thick">
        <color indexed="64"/>
      </left>
      <right/>
      <top/>
      <bottom style="dotted">
        <color indexed="64"/>
      </bottom>
      <diagonal/>
    </border>
    <border>
      <left/>
      <right/>
      <top/>
      <bottom style="dotted">
        <color indexed="64"/>
      </bottom>
      <diagonal/>
    </border>
    <border>
      <left style="thick">
        <color indexed="64"/>
      </left>
      <right/>
      <top style="dotted">
        <color indexed="64"/>
      </top>
      <bottom style="thick">
        <color indexed="64"/>
      </bottom>
      <diagonal/>
    </border>
    <border>
      <left style="thin">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thick">
        <color indexed="64"/>
      </top>
      <bottom style="thin">
        <color indexed="64"/>
      </bottom>
      <diagonal/>
    </border>
    <border>
      <left/>
      <right style="thick">
        <color indexed="64"/>
      </right>
      <top style="thick">
        <color indexed="64"/>
      </top>
      <bottom style="thick">
        <color indexed="64"/>
      </bottom>
      <diagonal/>
    </border>
    <border>
      <left/>
      <right style="thick">
        <color indexed="64"/>
      </right>
      <top style="thin">
        <color indexed="64"/>
      </top>
      <bottom style="thick">
        <color indexed="64"/>
      </bottom>
      <diagonal/>
    </border>
    <border>
      <left/>
      <right/>
      <top style="thick">
        <color indexed="64"/>
      </top>
      <bottom style="thin">
        <color indexed="64"/>
      </bottom>
      <diagonal/>
    </border>
    <border>
      <left/>
      <right style="thick">
        <color indexed="64"/>
      </right>
      <top/>
      <bottom style="thick">
        <color indexed="64"/>
      </bottom>
      <diagonal/>
    </border>
    <border>
      <left/>
      <right style="thick">
        <color indexed="64"/>
      </right>
      <top style="thin">
        <color indexed="64"/>
      </top>
      <bottom/>
      <diagonal/>
    </border>
    <border>
      <left style="thin">
        <color indexed="64"/>
      </left>
      <right style="thick">
        <color indexed="64"/>
      </right>
      <top style="thick">
        <color indexed="64"/>
      </top>
      <bottom/>
      <diagonal/>
    </border>
    <border>
      <left style="thin">
        <color indexed="64"/>
      </left>
      <right style="thick">
        <color indexed="64"/>
      </right>
      <top/>
      <bottom/>
      <diagonal/>
    </border>
    <border>
      <left style="thick">
        <color indexed="64"/>
      </left>
      <right style="thin">
        <color indexed="64"/>
      </right>
      <top/>
      <bottom style="thick">
        <color indexed="64"/>
      </bottom>
      <diagonal/>
    </border>
    <border>
      <left style="thin">
        <color indexed="64"/>
      </left>
      <right/>
      <top style="thick">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diagonal/>
    </border>
    <border>
      <left/>
      <right style="thin">
        <color indexed="64"/>
      </right>
      <top style="thick">
        <color indexed="64"/>
      </top>
      <bottom style="thin">
        <color indexed="64"/>
      </bottom>
      <diagonal/>
    </border>
    <border>
      <left style="thin">
        <color indexed="64"/>
      </left>
      <right/>
      <top/>
      <bottom style="dotted">
        <color indexed="64"/>
      </bottom>
      <diagonal/>
    </border>
    <border>
      <left style="thin">
        <color indexed="64"/>
      </left>
      <right style="thin">
        <color indexed="64"/>
      </right>
      <top style="dotted">
        <color indexed="64"/>
      </top>
      <bottom style="thick">
        <color indexed="64"/>
      </bottom>
      <diagonal/>
    </border>
    <border>
      <left/>
      <right style="thick">
        <color indexed="64"/>
      </right>
      <top style="dotted">
        <color indexed="64"/>
      </top>
      <bottom style="thick">
        <color indexed="64"/>
      </bottom>
      <diagonal/>
    </border>
    <border>
      <left style="double">
        <color indexed="10"/>
      </left>
      <right/>
      <top/>
      <bottom/>
      <diagonal/>
    </border>
    <border>
      <left style="double">
        <color indexed="10"/>
      </left>
      <right/>
      <top style="thick">
        <color indexed="64"/>
      </top>
      <bottom/>
      <diagonal/>
    </border>
    <border>
      <left style="double">
        <color indexed="10"/>
      </left>
      <right/>
      <top style="thick">
        <color indexed="64"/>
      </top>
      <bottom style="thin">
        <color indexed="64"/>
      </bottom>
      <diagonal/>
    </border>
    <border>
      <left style="double">
        <color indexed="10"/>
      </left>
      <right/>
      <top style="thin">
        <color indexed="64"/>
      </top>
      <bottom/>
      <diagonal/>
    </border>
    <border>
      <left style="double">
        <color indexed="10"/>
      </left>
      <right/>
      <top/>
      <bottom style="thin">
        <color indexed="64"/>
      </bottom>
      <diagonal/>
    </border>
    <border>
      <left style="double">
        <color indexed="10"/>
      </left>
      <right/>
      <top style="dotted">
        <color indexed="64"/>
      </top>
      <bottom/>
      <diagonal/>
    </border>
    <border>
      <left style="double">
        <color indexed="10"/>
      </left>
      <right/>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style="dotted">
        <color indexed="64"/>
      </top>
      <bottom style="thick">
        <color indexed="64"/>
      </bottom>
      <diagonal/>
    </border>
    <border>
      <left/>
      <right style="thin">
        <color indexed="64"/>
      </right>
      <top/>
      <bottom style="dotted">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bottom style="thick">
        <color indexed="64"/>
      </bottom>
      <diagonal/>
    </border>
    <border>
      <left style="mediumDashed">
        <color indexed="64"/>
      </left>
      <right/>
      <top/>
      <bottom/>
      <diagonal/>
    </border>
    <border>
      <left/>
      <right style="mediumDashed">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mediumDashed">
        <color indexed="64"/>
      </left>
      <right/>
      <top/>
      <bottom style="thin">
        <color indexed="64"/>
      </bottom>
      <diagonal/>
    </border>
    <border>
      <left/>
      <right style="mediumDashed">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right/>
      <top/>
      <bottom style="medium">
        <color indexed="64"/>
      </bottom>
      <diagonal/>
    </border>
    <border>
      <left style="double">
        <color indexed="10"/>
      </left>
      <right/>
      <top style="thin">
        <color indexed="64"/>
      </top>
      <bottom style="thin">
        <color indexed="64"/>
      </bottom>
      <diagonal/>
    </border>
    <border>
      <left style="mediumDashed">
        <color indexed="64"/>
      </left>
      <right/>
      <top style="thin">
        <color indexed="64"/>
      </top>
      <bottom/>
      <diagonal/>
    </border>
    <border>
      <left/>
      <right style="mediumDashed">
        <color indexed="64"/>
      </right>
      <top style="thin">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medium">
        <color indexed="64"/>
      </bottom>
      <diagonal/>
    </border>
    <border>
      <left style="thin">
        <color indexed="64"/>
      </left>
      <right style="thin">
        <color indexed="64"/>
      </right>
      <top style="dotted">
        <color indexed="64"/>
      </top>
      <bottom style="medium">
        <color indexed="64"/>
      </bottom>
      <diagonal/>
    </border>
    <border>
      <left/>
      <right style="thick">
        <color indexed="64"/>
      </right>
      <top style="dotted">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dotted">
        <color indexed="64"/>
      </top>
      <bottom/>
      <diagonal/>
    </border>
    <border>
      <left style="thin">
        <color indexed="64"/>
      </left>
      <right style="thin">
        <color indexed="64"/>
      </right>
      <top/>
      <bottom style="medium">
        <color indexed="64"/>
      </bottom>
      <diagonal/>
    </border>
    <border>
      <left/>
      <right style="medium">
        <color indexed="64"/>
      </right>
      <top style="dotted">
        <color indexed="64"/>
      </top>
      <bottom style="medium">
        <color indexed="64"/>
      </bottom>
      <diagonal/>
    </border>
    <border>
      <left style="thin">
        <color indexed="64"/>
      </left>
      <right style="thick">
        <color indexed="64"/>
      </right>
      <top style="thick">
        <color indexed="64"/>
      </top>
      <bottom style="thin">
        <color indexed="64"/>
      </bottom>
      <diagonal/>
    </border>
    <border>
      <left style="medium">
        <color theme="6" tint="-0.249977111117893"/>
      </left>
      <right/>
      <top style="medium">
        <color theme="6" tint="-0.249977111117893"/>
      </top>
      <bottom/>
      <diagonal/>
    </border>
    <border>
      <left/>
      <right/>
      <top style="medium">
        <color theme="6" tint="-0.249977111117893"/>
      </top>
      <bottom/>
      <diagonal/>
    </border>
    <border>
      <left/>
      <right style="medium">
        <color theme="6" tint="-0.249977111117893"/>
      </right>
      <top style="medium">
        <color theme="6" tint="-0.249977111117893"/>
      </top>
      <bottom/>
      <diagonal/>
    </border>
    <border>
      <left style="medium">
        <color theme="6" tint="-0.249977111117893"/>
      </left>
      <right/>
      <top/>
      <bottom/>
      <diagonal/>
    </border>
    <border>
      <left/>
      <right style="medium">
        <color theme="6" tint="-0.249977111117893"/>
      </right>
      <top/>
      <bottom/>
      <diagonal/>
    </border>
    <border>
      <left style="medium">
        <color theme="6" tint="-0.249977111117893"/>
      </left>
      <right/>
      <top/>
      <bottom style="medium">
        <color theme="6" tint="-0.249977111117893"/>
      </bottom>
      <diagonal/>
    </border>
    <border>
      <left/>
      <right/>
      <top/>
      <bottom style="medium">
        <color theme="6" tint="-0.249977111117893"/>
      </bottom>
      <diagonal/>
    </border>
    <border>
      <left/>
      <right style="medium">
        <color theme="6" tint="-0.249977111117893"/>
      </right>
      <top/>
      <bottom style="medium">
        <color theme="6" tint="-0.249977111117893"/>
      </bottom>
      <diagonal/>
    </border>
    <border>
      <left style="thick">
        <color auto="1"/>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thick">
        <color auto="1"/>
      </right>
      <top/>
      <bottom/>
      <diagonal/>
    </border>
    <border>
      <left/>
      <right/>
      <top style="medium">
        <color indexed="64"/>
      </top>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medium">
        <color indexed="64"/>
      </top>
      <bottom/>
      <diagonal/>
    </border>
    <border>
      <left style="thick">
        <color indexed="64"/>
      </left>
      <right/>
      <top style="medium">
        <color indexed="64"/>
      </top>
      <bottom/>
      <diagonal/>
    </border>
    <border>
      <left style="thick">
        <color indexed="64"/>
      </left>
      <right/>
      <top/>
      <bottom style="medium">
        <color indexed="64"/>
      </bottom>
      <diagonal/>
    </border>
  </borders>
  <cellStyleXfs count="4">
    <xf numFmtId="0" fontId="0" fillId="0" borderId="0"/>
    <xf numFmtId="0" fontId="4" fillId="0" borderId="0" applyNumberFormat="0" applyFill="0" applyBorder="0" applyAlignment="0" applyProtection="0">
      <alignment vertical="top"/>
      <protection locked="0"/>
    </xf>
    <xf numFmtId="9" fontId="3" fillId="0" borderId="0" applyFont="0" applyFill="0" applyBorder="0" applyAlignment="0" applyProtection="0"/>
    <xf numFmtId="0" fontId="2" fillId="0" borderId="0"/>
  </cellStyleXfs>
  <cellXfs count="3506">
    <xf numFmtId="0" fontId="0" fillId="0" borderId="0" xfId="0"/>
    <xf numFmtId="0" fontId="0" fillId="2" borderId="0" xfId="0" applyFill="1" applyAlignment="1">
      <alignment vertical="center"/>
    </xf>
    <xf numFmtId="0" fontId="0" fillId="0" borderId="0" xfId="0" applyAlignment="1">
      <alignment vertical="center"/>
    </xf>
    <xf numFmtId="0" fontId="7" fillId="2" borderId="0" xfId="0" applyFont="1" applyFill="1" applyAlignment="1">
      <alignment horizontal="left" vertical="center"/>
    </xf>
    <xf numFmtId="0" fontId="0" fillId="2" borderId="0" xfId="0" applyFill="1" applyAlignment="1">
      <alignment horizontal="left" vertical="center"/>
    </xf>
    <xf numFmtId="0" fontId="0" fillId="2" borderId="0" xfId="0" applyFill="1" applyAlignment="1">
      <alignment horizontal="right" vertical="center"/>
    </xf>
    <xf numFmtId="0" fontId="5" fillId="2" borderId="0" xfId="0" applyFont="1" applyFill="1" applyAlignment="1">
      <alignment horizontal="left" vertical="center"/>
    </xf>
    <xf numFmtId="0" fontId="6" fillId="2" borderId="0" xfId="0" applyFont="1" applyFill="1" applyAlignment="1">
      <alignment horizontal="left" vertical="center"/>
    </xf>
    <xf numFmtId="0" fontId="5" fillId="2" borderId="0" xfId="0" applyFont="1" applyFill="1" applyAlignment="1">
      <alignment vertical="center"/>
    </xf>
    <xf numFmtId="0" fontId="0" fillId="2" borderId="0" xfId="0" applyFill="1" applyAlignment="1">
      <alignment horizontal="center" vertical="center"/>
    </xf>
    <xf numFmtId="0" fontId="0" fillId="2" borderId="0" xfId="0" applyFill="1" applyBorder="1" applyAlignment="1">
      <alignment vertical="center"/>
    </xf>
    <xf numFmtId="0" fontId="0" fillId="2" borderId="0" xfId="0" applyFill="1" applyBorder="1" applyAlignment="1">
      <alignment horizontal="left" vertical="center"/>
    </xf>
    <xf numFmtId="0" fontId="9" fillId="2" borderId="0" xfId="0" applyFont="1" applyFill="1" applyAlignment="1">
      <alignment vertical="center"/>
    </xf>
    <xf numFmtId="0" fontId="0" fillId="2" borderId="0" xfId="0" applyFill="1" applyBorder="1" applyAlignment="1">
      <alignment horizontal="right" vertical="center"/>
    </xf>
    <xf numFmtId="0" fontId="13" fillId="0" borderId="0" xfId="0" applyFont="1" applyProtection="1"/>
    <xf numFmtId="0" fontId="0" fillId="2" borderId="0" xfId="0" quotePrefix="1" applyFill="1" applyAlignment="1">
      <alignment vertical="center"/>
    </xf>
    <xf numFmtId="0" fontId="0" fillId="3" borderId="0" xfId="0" applyFill="1"/>
    <xf numFmtId="0" fontId="0" fillId="4" borderId="0" xfId="0" applyFill="1"/>
    <xf numFmtId="0" fontId="0" fillId="5" borderId="1" xfId="0" applyFill="1" applyBorder="1" applyAlignment="1" applyProtection="1">
      <alignment horizontal="center" vertical="center"/>
      <protection locked="0"/>
    </xf>
    <xf numFmtId="3" fontId="0" fillId="5" borderId="1" xfId="0" applyNumberFormat="1" applyFill="1" applyBorder="1" applyAlignment="1" applyProtection="1">
      <alignment horizontal="center" vertical="center"/>
      <protection locked="0"/>
    </xf>
    <xf numFmtId="0" fontId="0" fillId="2" borderId="0" xfId="0" quotePrefix="1" applyFill="1" applyAlignment="1">
      <alignment horizontal="center" vertical="center"/>
    </xf>
    <xf numFmtId="164" fontId="0" fillId="6" borderId="1" xfId="2" applyNumberFormat="1" applyFont="1" applyFill="1" applyBorder="1" applyAlignment="1">
      <alignment horizontal="center" vertical="center"/>
    </xf>
    <xf numFmtId="0" fontId="0" fillId="5" borderId="2" xfId="0" applyFill="1" applyBorder="1" applyAlignment="1" applyProtection="1">
      <alignment horizontal="center" vertical="center"/>
      <protection locked="0"/>
    </xf>
    <xf numFmtId="0" fontId="0" fillId="0" borderId="0" xfId="0" applyAlignment="1" applyProtection="1">
      <alignment vertical="center"/>
    </xf>
    <xf numFmtId="0" fontId="0" fillId="0" borderId="3" xfId="0" applyFill="1" applyBorder="1" applyAlignment="1" applyProtection="1">
      <alignment horizontal="center" vertical="center"/>
    </xf>
    <xf numFmtId="0" fontId="0" fillId="0" borderId="4" xfId="0" applyFill="1" applyBorder="1" applyAlignment="1" applyProtection="1">
      <alignment horizontal="center" vertical="center"/>
    </xf>
    <xf numFmtId="0" fontId="0" fillId="0" borderId="5" xfId="0" applyFill="1" applyBorder="1" applyAlignment="1" applyProtection="1">
      <alignment horizontal="center" vertical="center"/>
    </xf>
    <xf numFmtId="0" fontId="0" fillId="0" borderId="6"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7" xfId="0" applyFill="1" applyBorder="1" applyAlignment="1" applyProtection="1">
      <alignment horizontal="center" vertical="center"/>
    </xf>
    <xf numFmtId="0" fontId="0" fillId="0" borderId="5" xfId="0" applyBorder="1" applyAlignment="1" applyProtection="1">
      <alignment horizontal="center" vertical="center"/>
    </xf>
    <xf numFmtId="0" fontId="0" fillId="0" borderId="7" xfId="0" applyBorder="1" applyAlignment="1" applyProtection="1">
      <alignment horizontal="center" vertical="center"/>
    </xf>
    <xf numFmtId="0" fontId="0" fillId="0" borderId="0" xfId="0" applyProtection="1"/>
    <xf numFmtId="0" fontId="13" fillId="0" borderId="0" xfId="0" applyFont="1" applyFill="1" applyAlignment="1" applyProtection="1">
      <alignment horizontal="right"/>
    </xf>
    <xf numFmtId="0" fontId="0" fillId="0" borderId="11" xfId="0" applyBorder="1" applyAlignment="1" applyProtection="1">
      <alignment horizontal="center"/>
    </xf>
    <xf numFmtId="0" fontId="0" fillId="0" borderId="6" xfId="0" applyFill="1" applyBorder="1" applyAlignment="1" applyProtection="1">
      <alignment horizontal="center"/>
    </xf>
    <xf numFmtId="0" fontId="0" fillId="0" borderId="0" xfId="0" applyFill="1" applyBorder="1" applyAlignment="1" applyProtection="1">
      <alignment horizontal="center"/>
    </xf>
    <xf numFmtId="0" fontId="0" fillId="0" borderId="7" xfId="0" applyFill="1" applyBorder="1" applyAlignment="1" applyProtection="1">
      <alignment horizontal="center"/>
    </xf>
    <xf numFmtId="0" fontId="0" fillId="0" borderId="8" xfId="0" applyFill="1" applyBorder="1" applyAlignment="1" applyProtection="1">
      <alignment horizontal="center"/>
    </xf>
    <xf numFmtId="0" fontId="0" fillId="0" borderId="9" xfId="0" applyFill="1" applyBorder="1" applyAlignment="1" applyProtection="1">
      <alignment horizontal="center"/>
    </xf>
    <xf numFmtId="0" fontId="0" fillId="0" borderId="10" xfId="0" applyFill="1" applyBorder="1" applyAlignment="1" applyProtection="1">
      <alignment horizontal="center"/>
    </xf>
    <xf numFmtId="168" fontId="0" fillId="0" borderId="0" xfId="0" applyNumberFormat="1" applyBorder="1" applyAlignment="1" applyProtection="1">
      <alignment horizontal="center"/>
    </xf>
    <xf numFmtId="0" fontId="0" fillId="0" borderId="16" xfId="0" applyBorder="1" applyProtection="1"/>
    <xf numFmtId="0" fontId="0" fillId="0" borderId="17" xfId="0" applyBorder="1" applyProtection="1"/>
    <xf numFmtId="0" fontId="0" fillId="0" borderId="18" xfId="0" applyBorder="1" applyProtection="1"/>
    <xf numFmtId="0" fontId="0" fillId="0" borderId="19" xfId="0" applyBorder="1" applyProtection="1"/>
    <xf numFmtId="0" fontId="0" fillId="0" borderId="0" xfId="0" applyBorder="1" applyProtection="1"/>
    <xf numFmtId="0" fontId="0" fillId="0" borderId="0" xfId="0" applyFill="1" applyBorder="1" applyAlignment="1" applyProtection="1">
      <alignment horizontal="right"/>
    </xf>
    <xf numFmtId="0" fontId="13" fillId="0" borderId="0" xfId="0" applyFont="1" applyFill="1" applyBorder="1" applyAlignment="1" applyProtection="1">
      <alignment horizontal="right"/>
    </xf>
    <xf numFmtId="0" fontId="0" fillId="0" borderId="20" xfId="0" applyBorder="1" applyProtection="1"/>
    <xf numFmtId="0" fontId="0" fillId="0" borderId="13" xfId="0" applyBorder="1" applyAlignment="1" applyProtection="1">
      <alignment horizontal="center"/>
    </xf>
    <xf numFmtId="0" fontId="0" fillId="0" borderId="14" xfId="0" applyBorder="1" applyAlignment="1" applyProtection="1">
      <alignment horizontal="center"/>
    </xf>
    <xf numFmtId="0" fontId="0" fillId="0" borderId="21" xfId="0" applyBorder="1" applyProtection="1"/>
    <xf numFmtId="0" fontId="0" fillId="0" borderId="22" xfId="0" applyBorder="1" applyProtection="1"/>
    <xf numFmtId="0" fontId="0" fillId="0" borderId="23" xfId="0" applyBorder="1" applyProtection="1"/>
    <xf numFmtId="0" fontId="0" fillId="0" borderId="22" xfId="0" applyBorder="1" applyAlignment="1" applyProtection="1">
      <alignment horizontal="center"/>
    </xf>
    <xf numFmtId="0" fontId="0" fillId="4" borderId="24" xfId="0" applyFill="1" applyBorder="1" applyAlignment="1" applyProtection="1">
      <alignment horizontal="center"/>
    </xf>
    <xf numFmtId="3" fontId="0" fillId="0" borderId="22" xfId="0" applyNumberFormat="1" applyFill="1" applyBorder="1" applyAlignment="1" applyProtection="1">
      <alignment horizontal="center"/>
    </xf>
    <xf numFmtId="3" fontId="6" fillId="0" borderId="22" xfId="0" applyNumberFormat="1" applyFont="1" applyBorder="1" applyAlignment="1" applyProtection="1">
      <alignment horizontal="center"/>
    </xf>
    <xf numFmtId="3" fontId="0" fillId="0" borderId="25" xfId="0" applyNumberFormat="1" applyFill="1" applyBorder="1" applyAlignment="1" applyProtection="1">
      <alignment horizontal="center"/>
    </xf>
    <xf numFmtId="3" fontId="6" fillId="0" borderId="23" xfId="0" applyNumberFormat="1" applyFont="1" applyBorder="1" applyAlignment="1" applyProtection="1">
      <alignment horizontal="center"/>
    </xf>
    <xf numFmtId="0" fontId="0" fillId="0" borderId="26" xfId="0" applyBorder="1" applyProtection="1"/>
    <xf numFmtId="0" fontId="0" fillId="0" borderId="7" xfId="0" applyBorder="1" applyProtection="1"/>
    <xf numFmtId="0" fontId="0" fillId="4" borderId="1" xfId="0" applyFill="1" applyBorder="1" applyAlignment="1" applyProtection="1">
      <alignment horizontal="center"/>
    </xf>
    <xf numFmtId="3" fontId="0" fillId="0" borderId="2" xfId="0" applyNumberFormat="1" applyFill="1" applyBorder="1" applyAlignment="1" applyProtection="1">
      <alignment horizontal="center"/>
    </xf>
    <xf numFmtId="3" fontId="0" fillId="0" borderId="11" xfId="0" applyNumberFormat="1" applyFill="1" applyBorder="1" applyAlignment="1" applyProtection="1">
      <alignment horizontal="center"/>
    </xf>
    <xf numFmtId="3" fontId="6" fillId="0" borderId="11" xfId="0" applyNumberFormat="1" applyFont="1" applyBorder="1" applyAlignment="1" applyProtection="1">
      <alignment horizontal="center"/>
    </xf>
    <xf numFmtId="3" fontId="6" fillId="0" borderId="12" xfId="0" applyNumberFormat="1" applyFont="1" applyBorder="1" applyAlignment="1" applyProtection="1">
      <alignment horizontal="center"/>
    </xf>
    <xf numFmtId="0" fontId="0" fillId="0" borderId="0" xfId="0" applyBorder="1" applyAlignment="1" applyProtection="1">
      <alignment horizontal="center"/>
    </xf>
    <xf numFmtId="3" fontId="0" fillId="0" borderId="0" xfId="0" applyNumberFormat="1" applyBorder="1" applyAlignment="1" applyProtection="1">
      <alignment horizontal="center"/>
    </xf>
    <xf numFmtId="3" fontId="0" fillId="0" borderId="6" xfId="0" applyNumberFormat="1" applyBorder="1" applyAlignment="1" applyProtection="1">
      <alignment horizontal="center"/>
    </xf>
    <xf numFmtId="3" fontId="0" fillId="0" borderId="7" xfId="0" applyNumberFormat="1" applyBorder="1" applyAlignment="1" applyProtection="1">
      <alignment horizontal="center"/>
    </xf>
    <xf numFmtId="0" fontId="0" fillId="0" borderId="27" xfId="0" applyBorder="1" applyProtection="1"/>
    <xf numFmtId="0" fontId="0" fillId="0" borderId="28" xfId="0" applyBorder="1" applyProtection="1"/>
    <xf numFmtId="0" fontId="0" fillId="0" borderId="29" xfId="0" applyBorder="1" applyProtection="1"/>
    <xf numFmtId="0" fontId="0" fillId="0" borderId="28" xfId="0" applyBorder="1" applyAlignment="1" applyProtection="1">
      <alignment horizontal="center"/>
    </xf>
    <xf numFmtId="0" fontId="0" fillId="0" borderId="30" xfId="0" applyBorder="1" applyAlignment="1" applyProtection="1">
      <alignment horizontal="center"/>
    </xf>
    <xf numFmtId="3" fontId="0" fillId="0" borderId="28" xfId="0" applyNumberFormat="1" applyBorder="1" applyAlignment="1" applyProtection="1">
      <alignment horizontal="center"/>
    </xf>
    <xf numFmtId="3" fontId="0" fillId="0" borderId="31" xfId="0" applyNumberFormat="1" applyBorder="1" applyAlignment="1" applyProtection="1">
      <alignment horizontal="center"/>
    </xf>
    <xf numFmtId="3" fontId="0" fillId="0" borderId="29" xfId="0" applyNumberFormat="1" applyBorder="1" applyAlignment="1" applyProtection="1">
      <alignment horizontal="center"/>
    </xf>
    <xf numFmtId="0" fontId="0" fillId="0" borderId="32" xfId="0" applyBorder="1" applyProtection="1"/>
    <xf numFmtId="0" fontId="0" fillId="0" borderId="33" xfId="0" applyBorder="1" applyAlignment="1" applyProtection="1">
      <alignment horizontal="center"/>
    </xf>
    <xf numFmtId="0" fontId="0" fillId="4" borderId="33" xfId="0" applyFill="1" applyBorder="1" applyAlignment="1" applyProtection="1">
      <alignment horizontal="center"/>
    </xf>
    <xf numFmtId="3" fontId="0" fillId="0" borderId="22" xfId="0" applyNumberFormat="1" applyBorder="1" applyAlignment="1" applyProtection="1">
      <alignment horizontal="center"/>
    </xf>
    <xf numFmtId="3" fontId="0" fillId="0" borderId="25" xfId="0" applyNumberFormat="1" applyBorder="1" applyAlignment="1" applyProtection="1">
      <alignment horizontal="center"/>
    </xf>
    <xf numFmtId="3" fontId="0" fillId="0" borderId="23" xfId="0" applyNumberFormat="1" applyBorder="1" applyAlignment="1" applyProtection="1">
      <alignment horizontal="center"/>
    </xf>
    <xf numFmtId="3" fontId="0" fillId="0" borderId="3" xfId="0" applyNumberFormat="1" applyBorder="1" applyAlignment="1" applyProtection="1">
      <alignment horizontal="center"/>
    </xf>
    <xf numFmtId="3" fontId="0" fillId="0" borderId="4" xfId="0" applyNumberFormat="1" applyBorder="1" applyAlignment="1" applyProtection="1">
      <alignment horizontal="center"/>
    </xf>
    <xf numFmtId="3" fontId="0" fillId="0" borderId="5" xfId="0" applyNumberFormat="1" applyBorder="1" applyAlignment="1" applyProtection="1">
      <alignment horizontal="center"/>
    </xf>
    <xf numFmtId="0" fontId="0" fillId="0" borderId="34" xfId="0" applyBorder="1" applyProtection="1"/>
    <xf numFmtId="0" fontId="0" fillId="0" borderId="35" xfId="0" applyBorder="1" applyProtection="1"/>
    <xf numFmtId="3" fontId="0" fillId="0" borderId="36" xfId="0" applyNumberFormat="1" applyBorder="1" applyAlignment="1" applyProtection="1">
      <alignment horizontal="center"/>
    </xf>
    <xf numFmtId="3" fontId="0" fillId="0" borderId="35" xfId="0" applyNumberFormat="1" applyBorder="1" applyAlignment="1" applyProtection="1">
      <alignment horizontal="center"/>
    </xf>
    <xf numFmtId="3" fontId="0" fillId="0" borderId="37" xfId="0" applyNumberFormat="1" applyBorder="1" applyAlignment="1" applyProtection="1">
      <alignment horizontal="center"/>
    </xf>
    <xf numFmtId="0" fontId="6" fillId="0" borderId="26" xfId="0" applyFont="1" applyBorder="1" applyProtection="1"/>
    <xf numFmtId="0" fontId="6" fillId="0" borderId="0" xfId="0" applyFont="1" applyBorder="1" applyProtection="1"/>
    <xf numFmtId="0" fontId="6" fillId="0" borderId="38" xfId="0" applyFont="1" applyBorder="1" applyProtection="1"/>
    <xf numFmtId="0" fontId="0" fillId="0" borderId="39" xfId="0" applyBorder="1" applyProtection="1"/>
    <xf numFmtId="0" fontId="6" fillId="0" borderId="39" xfId="0" applyFont="1" applyBorder="1" applyProtection="1"/>
    <xf numFmtId="3" fontId="0" fillId="0" borderId="40" xfId="0" applyNumberFormat="1" applyBorder="1" applyAlignment="1" applyProtection="1">
      <alignment horizontal="center"/>
    </xf>
    <xf numFmtId="3" fontId="0" fillId="0" borderId="39" xfId="0" applyNumberFormat="1" applyBorder="1" applyAlignment="1" applyProtection="1">
      <alignment horizontal="center"/>
    </xf>
    <xf numFmtId="3" fontId="0" fillId="0" borderId="41" xfId="0" applyNumberFormat="1" applyBorder="1" applyAlignment="1" applyProtection="1">
      <alignment horizontal="center"/>
    </xf>
    <xf numFmtId="0" fontId="0" fillId="0" borderId="42" xfId="0" applyBorder="1" applyProtection="1"/>
    <xf numFmtId="0" fontId="0" fillId="0" borderId="43" xfId="0" applyBorder="1" applyProtection="1"/>
    <xf numFmtId="0" fontId="0" fillId="0" borderId="44" xfId="0" applyBorder="1" applyProtection="1"/>
    <xf numFmtId="0" fontId="0" fillId="0" borderId="32" xfId="0" applyBorder="1" applyAlignment="1" applyProtection="1">
      <alignment horizontal="center"/>
    </xf>
    <xf numFmtId="0" fontId="0" fillId="0" borderId="46" xfId="0" applyBorder="1" applyAlignment="1" applyProtection="1">
      <alignment horizontal="center"/>
    </xf>
    <xf numFmtId="0" fontId="0" fillId="0" borderId="47" xfId="0" applyBorder="1" applyAlignment="1" applyProtection="1">
      <alignment horizontal="center"/>
    </xf>
    <xf numFmtId="0" fontId="0" fillId="0" borderId="4" xfId="0" applyFill="1" applyBorder="1" applyAlignment="1" applyProtection="1">
      <alignment horizontal="center"/>
    </xf>
    <xf numFmtId="0" fontId="0" fillId="0" borderId="48" xfId="0" applyFill="1" applyBorder="1" applyAlignment="1" applyProtection="1">
      <alignment horizontal="center"/>
    </xf>
    <xf numFmtId="0" fontId="0" fillId="0" borderId="26" xfId="0" applyFill="1" applyBorder="1" applyAlignment="1" applyProtection="1">
      <alignment horizontal="center"/>
    </xf>
    <xf numFmtId="0" fontId="0" fillId="0" borderId="49" xfId="0" applyBorder="1" applyAlignment="1" applyProtection="1">
      <alignment horizontal="center"/>
    </xf>
    <xf numFmtId="0" fontId="0" fillId="0" borderId="50" xfId="0" applyFill="1" applyBorder="1" applyAlignment="1" applyProtection="1">
      <alignment horizontal="center"/>
    </xf>
    <xf numFmtId="0" fontId="0" fillId="0" borderId="51" xfId="0" applyFill="1" applyBorder="1" applyAlignment="1" applyProtection="1">
      <alignment horizontal="center"/>
    </xf>
    <xf numFmtId="0" fontId="0" fillId="4" borderId="45" xfId="0" applyFill="1" applyBorder="1" applyAlignment="1" applyProtection="1">
      <alignment horizontal="center"/>
    </xf>
    <xf numFmtId="0" fontId="0" fillId="0" borderId="22" xfId="0" quotePrefix="1" applyBorder="1" applyAlignment="1" applyProtection="1">
      <alignment horizontal="center"/>
    </xf>
    <xf numFmtId="0" fontId="0" fillId="0" borderId="25" xfId="0" applyBorder="1" applyAlignment="1" applyProtection="1">
      <alignment horizontal="center"/>
    </xf>
    <xf numFmtId="0" fontId="0" fillId="0" borderId="23" xfId="0" applyBorder="1" applyAlignment="1" applyProtection="1">
      <alignment horizontal="center"/>
    </xf>
    <xf numFmtId="165" fontId="0" fillId="0" borderId="22" xfId="0" applyNumberFormat="1" applyBorder="1" applyAlignment="1" applyProtection="1">
      <alignment horizontal="center"/>
    </xf>
    <xf numFmtId="165" fontId="0" fillId="0" borderId="45" xfId="0" applyNumberFormat="1" applyBorder="1" applyAlignment="1" applyProtection="1">
      <alignment horizontal="center"/>
    </xf>
    <xf numFmtId="0" fontId="0" fillId="0" borderId="52" xfId="0" applyBorder="1" applyProtection="1"/>
    <xf numFmtId="0" fontId="0" fillId="4" borderId="53" xfId="0" applyFill="1" applyBorder="1" applyAlignment="1" applyProtection="1">
      <alignment horizontal="center"/>
    </xf>
    <xf numFmtId="165" fontId="0" fillId="0" borderId="11" xfId="0" applyNumberFormat="1" applyBorder="1" applyAlignment="1" applyProtection="1">
      <alignment horizontal="center"/>
    </xf>
    <xf numFmtId="165" fontId="0" fillId="0" borderId="53" xfId="0" applyNumberFormat="1" applyBorder="1" applyAlignment="1" applyProtection="1">
      <alignment horizontal="center"/>
    </xf>
    <xf numFmtId="0" fontId="0" fillId="0" borderId="48" xfId="0" applyBorder="1" applyAlignment="1" applyProtection="1">
      <alignment horizontal="center"/>
    </xf>
    <xf numFmtId="0" fontId="0" fillId="0" borderId="26" xfId="0" applyBorder="1" applyAlignment="1" applyProtection="1">
      <alignment horizontal="center"/>
    </xf>
    <xf numFmtId="0" fontId="0" fillId="0" borderId="6" xfId="0" applyBorder="1" applyAlignment="1" applyProtection="1">
      <alignment horizontal="center"/>
    </xf>
    <xf numFmtId="0" fontId="0" fillId="0" borderId="7" xfId="0" applyBorder="1" applyAlignment="1" applyProtection="1">
      <alignment horizontal="center"/>
    </xf>
    <xf numFmtId="165" fontId="0" fillId="0" borderId="0" xfId="0" applyNumberFormat="1" applyBorder="1" applyAlignment="1" applyProtection="1">
      <alignment horizontal="center"/>
    </xf>
    <xf numFmtId="165" fontId="0" fillId="0" borderId="48" xfId="0" applyNumberFormat="1" applyBorder="1" applyAlignment="1" applyProtection="1">
      <alignment horizontal="center"/>
    </xf>
    <xf numFmtId="0" fontId="0" fillId="0" borderId="54" xfId="0" applyBorder="1" applyAlignment="1" applyProtection="1">
      <alignment horizontal="center"/>
    </xf>
    <xf numFmtId="0" fontId="0" fillId="0" borderId="55" xfId="0" applyBorder="1" applyAlignment="1" applyProtection="1">
      <alignment horizontal="center"/>
    </xf>
    <xf numFmtId="0" fontId="0" fillId="0" borderId="56" xfId="0" applyBorder="1" applyAlignment="1" applyProtection="1">
      <alignment horizontal="center"/>
    </xf>
    <xf numFmtId="0" fontId="0" fillId="0" borderId="57" xfId="0" applyBorder="1" applyAlignment="1" applyProtection="1">
      <alignment horizontal="center"/>
    </xf>
    <xf numFmtId="0" fontId="0" fillId="0" borderId="58" xfId="0" applyBorder="1" applyAlignment="1" applyProtection="1">
      <alignment horizontal="center"/>
    </xf>
    <xf numFmtId="0" fontId="0" fillId="0" borderId="59" xfId="0" applyBorder="1" applyAlignment="1" applyProtection="1">
      <alignment horizontal="center"/>
    </xf>
    <xf numFmtId="165" fontId="0" fillId="0" borderId="57" xfId="0" applyNumberFormat="1" applyBorder="1" applyAlignment="1" applyProtection="1">
      <alignment horizontal="center"/>
    </xf>
    <xf numFmtId="165" fontId="0" fillId="0" borderId="55" xfId="0" applyNumberFormat="1" applyBorder="1" applyAlignment="1" applyProtection="1">
      <alignment horizontal="center"/>
    </xf>
    <xf numFmtId="0" fontId="0" fillId="0" borderId="60" xfId="0" applyBorder="1" applyAlignment="1" applyProtection="1">
      <alignment horizontal="center"/>
    </xf>
    <xf numFmtId="0" fontId="0" fillId="0" borderId="61" xfId="0" applyBorder="1" applyAlignment="1" applyProtection="1">
      <alignment horizontal="center"/>
    </xf>
    <xf numFmtId="0" fontId="0" fillId="0" borderId="62" xfId="0" applyBorder="1" applyAlignment="1" applyProtection="1">
      <alignment horizontal="center"/>
    </xf>
    <xf numFmtId="0" fontId="0" fillId="0" borderId="63" xfId="0" applyBorder="1" applyAlignment="1" applyProtection="1">
      <alignment horizontal="center"/>
    </xf>
    <xf numFmtId="165" fontId="0" fillId="0" borderId="63" xfId="0" applyNumberFormat="1" applyBorder="1" applyAlignment="1" applyProtection="1">
      <alignment horizontal="center"/>
    </xf>
    <xf numFmtId="165" fontId="0" fillId="0" borderId="61" xfId="0" applyNumberFormat="1" applyBorder="1" applyAlignment="1" applyProtection="1">
      <alignment horizontal="center"/>
    </xf>
    <xf numFmtId="0" fontId="0" fillId="4" borderId="48" xfId="0" applyFill="1" applyBorder="1" applyAlignment="1" applyProtection="1">
      <alignment horizontal="center"/>
    </xf>
    <xf numFmtId="0" fontId="0" fillId="4" borderId="55" xfId="0" applyFill="1" applyBorder="1" applyAlignment="1" applyProtection="1">
      <alignment horizontal="center"/>
    </xf>
    <xf numFmtId="0" fontId="0" fillId="0" borderId="64" xfId="0" applyBorder="1" applyAlignment="1" applyProtection="1">
      <alignment horizontal="center"/>
    </xf>
    <xf numFmtId="0" fontId="0" fillId="0" borderId="65" xfId="0" applyBorder="1" applyAlignment="1" applyProtection="1">
      <alignment horizontal="center"/>
    </xf>
    <xf numFmtId="165" fontId="0" fillId="0" borderId="66" xfId="0" applyNumberFormat="1" applyBorder="1" applyAlignment="1" applyProtection="1">
      <alignment horizontal="center"/>
    </xf>
    <xf numFmtId="0" fontId="0" fillId="4" borderId="67" xfId="0" applyFill="1" applyBorder="1" applyAlignment="1" applyProtection="1">
      <alignment horizontal="center"/>
    </xf>
    <xf numFmtId="0" fontId="0" fillId="0" borderId="50" xfId="0" applyBorder="1" applyAlignment="1" applyProtection="1">
      <alignment horizontal="center"/>
    </xf>
    <xf numFmtId="0" fontId="0" fillId="0" borderId="9" xfId="0" applyBorder="1" applyAlignment="1" applyProtection="1">
      <alignment horizontal="center"/>
    </xf>
    <xf numFmtId="0" fontId="0" fillId="0" borderId="8" xfId="0" applyBorder="1" applyAlignment="1" applyProtection="1">
      <alignment horizontal="center"/>
    </xf>
    <xf numFmtId="165" fontId="0" fillId="0" borderId="9" xfId="0" applyNumberFormat="1" applyBorder="1" applyAlignment="1" applyProtection="1">
      <alignment horizontal="center"/>
    </xf>
    <xf numFmtId="165" fontId="0" fillId="0" borderId="51" xfId="0" applyNumberFormat="1" applyBorder="1" applyAlignment="1" applyProtection="1">
      <alignment horizontal="center"/>
    </xf>
    <xf numFmtId="0" fontId="0" fillId="0" borderId="68" xfId="0" applyFill="1" applyBorder="1" applyAlignment="1" applyProtection="1">
      <alignment horizontal="center"/>
    </xf>
    <xf numFmtId="0" fontId="0" fillId="0" borderId="35" xfId="0" applyBorder="1" applyAlignment="1" applyProtection="1">
      <alignment horizontal="center"/>
    </xf>
    <xf numFmtId="165" fontId="0" fillId="0" borderId="35" xfId="0" applyNumberFormat="1" applyBorder="1" applyAlignment="1" applyProtection="1">
      <alignment horizontal="center"/>
    </xf>
    <xf numFmtId="0" fontId="0" fillId="0" borderId="45" xfId="0" applyBorder="1" applyProtection="1"/>
    <xf numFmtId="0" fontId="0" fillId="4" borderId="32" xfId="0" applyFill="1" applyBorder="1" applyAlignment="1" applyProtection="1">
      <alignment horizontal="center"/>
    </xf>
    <xf numFmtId="0" fontId="0" fillId="4" borderId="22" xfId="0" applyFill="1" applyBorder="1" applyProtection="1"/>
    <xf numFmtId="0" fontId="0" fillId="4" borderId="22" xfId="0" applyFill="1" applyBorder="1" applyAlignment="1" applyProtection="1">
      <alignment horizontal="center"/>
    </xf>
    <xf numFmtId="0" fontId="0" fillId="0" borderId="25" xfId="0" applyBorder="1" applyProtection="1"/>
    <xf numFmtId="0" fontId="0" fillId="4" borderId="26" xfId="0" applyFill="1" applyBorder="1" applyAlignment="1" applyProtection="1">
      <alignment horizontal="center"/>
    </xf>
    <xf numFmtId="0" fontId="0" fillId="4" borderId="0" xfId="0" applyFill="1" applyBorder="1" applyAlignment="1" applyProtection="1">
      <alignment horizontal="center"/>
    </xf>
    <xf numFmtId="165" fontId="0" fillId="4" borderId="0" xfId="0" applyNumberFormat="1" applyFill="1" applyBorder="1" applyAlignment="1" applyProtection="1">
      <alignment horizontal="center"/>
    </xf>
    <xf numFmtId="0" fontId="0" fillId="4" borderId="38" xfId="0" applyFill="1" applyBorder="1" applyAlignment="1" applyProtection="1">
      <alignment horizontal="center"/>
    </xf>
    <xf numFmtId="0" fontId="0" fillId="4" borderId="39" xfId="0" applyFill="1" applyBorder="1" applyAlignment="1" applyProtection="1">
      <alignment horizontal="center"/>
    </xf>
    <xf numFmtId="0" fontId="0" fillId="0" borderId="39" xfId="0" applyBorder="1" applyAlignment="1" applyProtection="1">
      <alignment horizontal="center"/>
    </xf>
    <xf numFmtId="165" fontId="0" fillId="4" borderId="39" xfId="0" applyNumberFormat="1" applyFill="1" applyBorder="1" applyAlignment="1" applyProtection="1">
      <alignment horizontal="center"/>
    </xf>
    <xf numFmtId="0" fontId="0" fillId="4" borderId="69" xfId="0" applyFill="1" applyBorder="1" applyAlignment="1" applyProtection="1">
      <alignment horizontal="center"/>
    </xf>
    <xf numFmtId="0" fontId="0" fillId="8" borderId="0" xfId="0" applyFill="1" applyBorder="1" applyAlignment="1" applyProtection="1">
      <alignment horizontal="left"/>
    </xf>
    <xf numFmtId="0" fontId="0" fillId="8" borderId="0" xfId="0" applyFill="1" applyProtection="1"/>
    <xf numFmtId="0" fontId="0" fillId="8" borderId="0" xfId="0" applyFill="1" applyAlignment="1" applyProtection="1">
      <alignment horizontal="center"/>
    </xf>
    <xf numFmtId="0" fontId="0" fillId="8" borderId="22" xfId="0" applyFill="1" applyBorder="1" applyAlignment="1" applyProtection="1">
      <alignment horizontal="right"/>
    </xf>
    <xf numFmtId="0" fontId="0" fillId="8" borderId="22" xfId="0" applyFill="1" applyBorder="1" applyAlignment="1" applyProtection="1">
      <alignment horizontal="center"/>
    </xf>
    <xf numFmtId="0" fontId="0" fillId="0" borderId="0" xfId="0" applyAlignment="1" applyProtection="1">
      <alignment horizontal="center"/>
    </xf>
    <xf numFmtId="0" fontId="0" fillId="0" borderId="15" xfId="0" applyBorder="1" applyAlignment="1" applyProtection="1">
      <alignment horizontal="center"/>
    </xf>
    <xf numFmtId="0" fontId="0" fillId="4" borderId="15" xfId="0" applyFill="1" applyBorder="1" applyAlignment="1" applyProtection="1">
      <alignment horizontal="center"/>
    </xf>
    <xf numFmtId="0" fontId="0" fillId="4" borderId="51" xfId="0" applyFill="1" applyBorder="1" applyAlignment="1" applyProtection="1">
      <alignment horizontal="center"/>
    </xf>
    <xf numFmtId="0" fontId="0" fillId="0" borderId="70" xfId="0" applyBorder="1" applyAlignment="1" applyProtection="1">
      <alignment horizontal="center"/>
    </xf>
    <xf numFmtId="165" fontId="0" fillId="0" borderId="68" xfId="0" applyNumberFormat="1" applyBorder="1" applyAlignment="1" applyProtection="1">
      <alignment horizontal="center"/>
    </xf>
    <xf numFmtId="0" fontId="0" fillId="9" borderId="0" xfId="0" applyFill="1" applyProtection="1"/>
    <xf numFmtId="0" fontId="6" fillId="0" borderId="0" xfId="0" applyFont="1" applyFill="1" applyBorder="1" applyProtection="1"/>
    <xf numFmtId="0" fontId="0" fillId="0" borderId="0" xfId="0" applyFill="1" applyBorder="1" applyProtection="1"/>
    <xf numFmtId="165" fontId="0" fillId="0" borderId="0" xfId="0" applyNumberFormat="1" applyFill="1" applyBorder="1" applyAlignment="1" applyProtection="1">
      <alignment horizontal="center"/>
    </xf>
    <xf numFmtId="0" fontId="8" fillId="0" borderId="0" xfId="0" applyFont="1" applyFill="1" applyBorder="1" applyAlignment="1" applyProtection="1">
      <alignment horizontal="center"/>
    </xf>
    <xf numFmtId="165" fontId="8" fillId="0" borderId="0" xfId="0" applyNumberFormat="1" applyFont="1" applyFill="1" applyBorder="1" applyAlignment="1" applyProtection="1">
      <alignment horizontal="center"/>
    </xf>
    <xf numFmtId="0" fontId="0" fillId="0" borderId="0" xfId="0" applyFill="1" applyProtection="1"/>
    <xf numFmtId="0" fontId="0" fillId="0" borderId="0" xfId="0" applyFill="1" applyAlignment="1" applyProtection="1">
      <alignment horizontal="right"/>
    </xf>
    <xf numFmtId="0" fontId="0" fillId="9" borderId="0" xfId="0" applyFill="1" applyAlignment="1" applyProtection="1">
      <alignment horizontal="right"/>
    </xf>
    <xf numFmtId="1" fontId="0" fillId="0" borderId="22" xfId="0" applyNumberFormat="1" applyFill="1" applyBorder="1" applyAlignment="1" applyProtection="1">
      <alignment horizontal="center"/>
    </xf>
    <xf numFmtId="0" fontId="6" fillId="0" borderId="22" xfId="0" applyFont="1" applyBorder="1" applyAlignment="1" applyProtection="1">
      <alignment horizontal="center"/>
    </xf>
    <xf numFmtId="165" fontId="0" fillId="0" borderId="25" xfId="0" applyNumberFormat="1" applyFill="1" applyBorder="1" applyAlignment="1" applyProtection="1">
      <alignment horizontal="center"/>
    </xf>
    <xf numFmtId="165" fontId="0" fillId="0" borderId="22" xfId="0" applyNumberFormat="1" applyFill="1" applyBorder="1" applyAlignment="1" applyProtection="1">
      <alignment horizontal="center"/>
    </xf>
    <xf numFmtId="165" fontId="6" fillId="0" borderId="23" xfId="0" applyNumberFormat="1" applyFont="1" applyBorder="1" applyAlignment="1" applyProtection="1">
      <alignment horizontal="center"/>
    </xf>
    <xf numFmtId="165" fontId="6" fillId="0" borderId="45" xfId="0" applyNumberFormat="1" applyFont="1" applyBorder="1" applyAlignment="1" applyProtection="1">
      <alignment horizontal="center"/>
    </xf>
    <xf numFmtId="1" fontId="0" fillId="0" borderId="2" xfId="0" applyNumberFormat="1" applyFill="1" applyBorder="1" applyAlignment="1" applyProtection="1">
      <alignment horizontal="center"/>
    </xf>
    <xf numFmtId="1" fontId="0" fillId="0" borderId="11" xfId="0" applyNumberFormat="1" applyFill="1" applyBorder="1" applyAlignment="1" applyProtection="1">
      <alignment horizontal="center"/>
    </xf>
    <xf numFmtId="0" fontId="6" fillId="0" borderId="11" xfId="0" applyFont="1" applyBorder="1" applyAlignment="1" applyProtection="1">
      <alignment horizontal="center"/>
    </xf>
    <xf numFmtId="165" fontId="0" fillId="0" borderId="2" xfId="0" applyNumberFormat="1" applyFill="1" applyBorder="1" applyAlignment="1" applyProtection="1">
      <alignment horizontal="center"/>
    </xf>
    <xf numFmtId="165" fontId="0" fillId="0" borderId="11" xfId="0" applyNumberFormat="1" applyFill="1" applyBorder="1" applyAlignment="1" applyProtection="1">
      <alignment horizontal="center"/>
    </xf>
    <xf numFmtId="165" fontId="6" fillId="0" borderId="12" xfId="0" applyNumberFormat="1" applyFont="1" applyBorder="1" applyAlignment="1" applyProtection="1">
      <alignment horizontal="center"/>
    </xf>
    <xf numFmtId="165" fontId="6" fillId="0" borderId="53" xfId="0" applyNumberFormat="1" applyFont="1" applyBorder="1" applyAlignment="1" applyProtection="1">
      <alignment horizontal="center"/>
    </xf>
    <xf numFmtId="165" fontId="0" fillId="0" borderId="6" xfId="0" applyNumberFormat="1" applyBorder="1" applyAlignment="1" applyProtection="1">
      <alignment horizontal="center"/>
    </xf>
    <xf numFmtId="165" fontId="0" fillId="0" borderId="7" xfId="0" applyNumberFormat="1" applyBorder="1" applyAlignment="1" applyProtection="1">
      <alignment horizontal="center"/>
    </xf>
    <xf numFmtId="165" fontId="0" fillId="0" borderId="31" xfId="0" applyNumberFormat="1" applyBorder="1" applyAlignment="1" applyProtection="1">
      <alignment horizontal="center"/>
    </xf>
    <xf numFmtId="165" fontId="0" fillId="0" borderId="28" xfId="0" applyNumberFormat="1" applyBorder="1" applyAlignment="1" applyProtection="1">
      <alignment horizontal="center"/>
    </xf>
    <xf numFmtId="165" fontId="0" fillId="0" borderId="29" xfId="0" applyNumberFormat="1" applyBorder="1" applyAlignment="1" applyProtection="1">
      <alignment horizontal="center"/>
    </xf>
    <xf numFmtId="165" fontId="0" fillId="0" borderId="71" xfId="0" applyNumberFormat="1" applyBorder="1" applyAlignment="1" applyProtection="1">
      <alignment horizontal="center"/>
    </xf>
    <xf numFmtId="165" fontId="0" fillId="0" borderId="25" xfId="0" applyNumberFormat="1" applyBorder="1" applyAlignment="1" applyProtection="1">
      <alignment horizontal="center"/>
    </xf>
    <xf numFmtId="165" fontId="0" fillId="0" borderId="23" xfId="0" applyNumberFormat="1" applyBorder="1" applyAlignment="1" applyProtection="1">
      <alignment horizontal="center"/>
    </xf>
    <xf numFmtId="0" fontId="0" fillId="0" borderId="3" xfId="0" applyBorder="1" applyAlignment="1" applyProtection="1">
      <alignment horizontal="center"/>
    </xf>
    <xf numFmtId="0" fontId="0" fillId="0" borderId="4" xfId="0" applyBorder="1" applyAlignment="1" applyProtection="1">
      <alignment horizontal="center"/>
    </xf>
    <xf numFmtId="165" fontId="0" fillId="0" borderId="3" xfId="0" applyNumberFormat="1" applyBorder="1" applyAlignment="1" applyProtection="1">
      <alignment horizontal="center"/>
    </xf>
    <xf numFmtId="165" fontId="0" fillId="0" borderId="4" xfId="0" applyNumberFormat="1" applyBorder="1" applyAlignment="1" applyProtection="1">
      <alignment horizontal="center"/>
    </xf>
    <xf numFmtId="165" fontId="0" fillId="0" borderId="5" xfId="0" applyNumberFormat="1" applyBorder="1" applyAlignment="1" applyProtection="1">
      <alignment horizontal="center"/>
    </xf>
    <xf numFmtId="165" fontId="0" fillId="0" borderId="72" xfId="0" applyNumberFormat="1" applyBorder="1" applyAlignment="1" applyProtection="1">
      <alignment horizontal="center"/>
    </xf>
    <xf numFmtId="0" fontId="0" fillId="0" borderId="36" xfId="0" applyBorder="1" applyAlignment="1" applyProtection="1">
      <alignment horizontal="center"/>
    </xf>
    <xf numFmtId="165" fontId="0" fillId="0" borderId="36" xfId="0" applyNumberFormat="1" applyBorder="1" applyAlignment="1" applyProtection="1">
      <alignment horizontal="center"/>
    </xf>
    <xf numFmtId="165" fontId="0" fillId="0" borderId="37" xfId="0" applyNumberFormat="1" applyBorder="1" applyAlignment="1" applyProtection="1">
      <alignment horizontal="center"/>
    </xf>
    <xf numFmtId="0" fontId="0" fillId="0" borderId="0" xfId="0" applyFill="1" applyAlignment="1" applyProtection="1">
      <alignment horizontal="center"/>
    </xf>
    <xf numFmtId="165" fontId="0" fillId="0" borderId="40" xfId="0" applyNumberFormat="1" applyBorder="1" applyAlignment="1" applyProtection="1">
      <alignment horizontal="center"/>
    </xf>
    <xf numFmtId="165" fontId="0" fillId="0" borderId="39" xfId="0" applyNumberFormat="1" applyBorder="1" applyAlignment="1" applyProtection="1">
      <alignment horizontal="center"/>
    </xf>
    <xf numFmtId="165" fontId="0" fillId="0" borderId="41" xfId="0" applyNumberFormat="1" applyBorder="1" applyAlignment="1" applyProtection="1">
      <alignment horizontal="center"/>
    </xf>
    <xf numFmtId="165" fontId="0" fillId="0" borderId="69" xfId="0" applyNumberFormat="1" applyBorder="1" applyAlignment="1" applyProtection="1">
      <alignment horizontal="center"/>
    </xf>
    <xf numFmtId="0" fontId="0" fillId="0" borderId="3" xfId="0" applyBorder="1" applyProtection="1"/>
    <xf numFmtId="0" fontId="0" fillId="0" borderId="4" xfId="0" applyBorder="1" applyProtection="1"/>
    <xf numFmtId="0" fontId="0" fillId="0" borderId="5" xfId="0" applyBorder="1" applyAlignment="1" applyProtection="1">
      <alignment horizontal="right"/>
    </xf>
    <xf numFmtId="3" fontId="0" fillId="0" borderId="4" xfId="0" applyNumberFormat="1" applyFill="1" applyBorder="1" applyAlignment="1" applyProtection="1">
      <alignment horizontal="center"/>
    </xf>
    <xf numFmtId="3" fontId="6" fillId="0" borderId="4" xfId="0" applyNumberFormat="1" applyFont="1" applyBorder="1" applyAlignment="1" applyProtection="1">
      <alignment horizontal="center"/>
    </xf>
    <xf numFmtId="3" fontId="0" fillId="0" borderId="3" xfId="0" applyNumberFormat="1" applyFill="1" applyBorder="1" applyAlignment="1" applyProtection="1">
      <alignment horizontal="center"/>
    </xf>
    <xf numFmtId="3" fontId="6" fillId="0" borderId="5" xfId="0" applyNumberFormat="1" applyFont="1" applyBorder="1" applyAlignment="1" applyProtection="1">
      <alignment horizontal="center"/>
    </xf>
    <xf numFmtId="0" fontId="0" fillId="0" borderId="6" xfId="0" applyBorder="1" applyProtection="1"/>
    <xf numFmtId="0" fontId="0" fillId="0" borderId="7" xfId="0" applyBorder="1" applyAlignment="1" applyProtection="1">
      <alignment horizontal="right"/>
    </xf>
    <xf numFmtId="3" fontId="0" fillId="0" borderId="0" xfId="0" applyNumberFormat="1" applyFill="1" applyBorder="1" applyAlignment="1" applyProtection="1">
      <alignment horizontal="center"/>
    </xf>
    <xf numFmtId="3" fontId="6" fillId="0" borderId="0" xfId="0" applyNumberFormat="1" applyFont="1" applyBorder="1" applyAlignment="1" applyProtection="1">
      <alignment horizontal="center"/>
    </xf>
    <xf numFmtId="3" fontId="0" fillId="0" borderId="6" xfId="0" applyNumberFormat="1" applyFill="1" applyBorder="1" applyAlignment="1" applyProtection="1">
      <alignment horizontal="center"/>
    </xf>
    <xf numFmtId="3" fontId="6" fillId="0" borderId="7" xfId="0" applyNumberFormat="1" applyFont="1" applyBorder="1" applyAlignment="1" applyProtection="1">
      <alignment horizontal="center"/>
    </xf>
    <xf numFmtId="0" fontId="0" fillId="0" borderId="8" xfId="0" applyBorder="1" applyProtection="1"/>
    <xf numFmtId="0" fontId="0" fillId="0" borderId="9" xfId="0" applyBorder="1" applyProtection="1"/>
    <xf numFmtId="0" fontId="0" fillId="0" borderId="10" xfId="0" applyBorder="1" applyAlignment="1" applyProtection="1">
      <alignment horizontal="right"/>
    </xf>
    <xf numFmtId="3" fontId="0" fillId="0" borderId="9" xfId="0" applyNumberFormat="1" applyFill="1" applyBorder="1" applyAlignment="1" applyProtection="1">
      <alignment horizontal="center"/>
    </xf>
    <xf numFmtId="3" fontId="6" fillId="0" borderId="9" xfId="0" applyNumberFormat="1" applyFont="1" applyBorder="1" applyAlignment="1" applyProtection="1">
      <alignment horizontal="center"/>
    </xf>
    <xf numFmtId="3" fontId="0" fillId="0" borderId="8" xfId="0" applyNumberFormat="1" applyFill="1" applyBorder="1" applyAlignment="1" applyProtection="1">
      <alignment horizontal="center"/>
    </xf>
    <xf numFmtId="3" fontId="6" fillId="0" borderId="10" xfId="0" applyNumberFormat="1" applyFont="1" applyBorder="1" applyAlignment="1" applyProtection="1">
      <alignment horizontal="center"/>
    </xf>
    <xf numFmtId="0" fontId="0" fillId="0" borderId="2" xfId="0" applyBorder="1" applyProtection="1"/>
    <xf numFmtId="0" fontId="0" fillId="0" borderId="11" xfId="0" applyBorder="1" applyProtection="1"/>
    <xf numFmtId="0" fontId="0" fillId="0" borderId="12" xfId="0" applyFill="1" applyBorder="1" applyAlignment="1" applyProtection="1">
      <alignment horizontal="right"/>
    </xf>
    <xf numFmtId="3" fontId="0" fillId="0" borderId="2" xfId="0" applyNumberFormat="1" applyBorder="1" applyAlignment="1" applyProtection="1">
      <alignment horizontal="center"/>
    </xf>
    <xf numFmtId="3" fontId="0" fillId="0" borderId="11" xfId="0" applyNumberFormat="1" applyBorder="1" applyAlignment="1" applyProtection="1">
      <alignment horizontal="center"/>
    </xf>
    <xf numFmtId="3" fontId="0" fillId="0" borderId="12" xfId="0" applyNumberFormat="1" applyBorder="1" applyAlignment="1" applyProtection="1">
      <alignment horizontal="center"/>
    </xf>
    <xf numFmtId="0" fontId="0" fillId="0" borderId="21" xfId="0" applyBorder="1" applyAlignment="1" applyProtection="1">
      <alignment horizontal="center"/>
    </xf>
    <xf numFmtId="1" fontId="0" fillId="0" borderId="22" xfId="0" applyNumberFormat="1" applyBorder="1" applyAlignment="1" applyProtection="1">
      <alignment horizontal="center"/>
    </xf>
    <xf numFmtId="1" fontId="0" fillId="0" borderId="24" xfId="0" applyNumberFormat="1" applyBorder="1" applyAlignment="1" applyProtection="1">
      <alignment horizontal="center"/>
    </xf>
    <xf numFmtId="0" fontId="0" fillId="0" borderId="73" xfId="0" applyBorder="1" applyAlignment="1" applyProtection="1">
      <alignment horizontal="center"/>
    </xf>
    <xf numFmtId="1" fontId="0" fillId="0" borderId="32" xfId="0" applyNumberFormat="1" applyBorder="1" applyAlignment="1" applyProtection="1">
      <alignment horizontal="center"/>
    </xf>
    <xf numFmtId="0" fontId="0" fillId="0" borderId="52" xfId="0" applyBorder="1" applyAlignment="1" applyProtection="1">
      <alignment horizontal="center"/>
    </xf>
    <xf numFmtId="1" fontId="0" fillId="0" borderId="0" xfId="0" applyNumberFormat="1" applyBorder="1" applyAlignment="1" applyProtection="1">
      <alignment horizontal="center"/>
    </xf>
    <xf numFmtId="1" fontId="0" fillId="0" borderId="14" xfId="0" applyNumberFormat="1" applyBorder="1" applyAlignment="1" applyProtection="1">
      <alignment horizontal="center"/>
    </xf>
    <xf numFmtId="0" fontId="0" fillId="0" borderId="74" xfId="0" applyBorder="1" applyAlignment="1" applyProtection="1">
      <alignment horizontal="center"/>
    </xf>
    <xf numFmtId="1" fontId="0" fillId="0" borderId="26" xfId="0" applyNumberFormat="1" applyBorder="1" applyAlignment="1" applyProtection="1">
      <alignment horizontal="center"/>
    </xf>
    <xf numFmtId="0" fontId="0" fillId="0" borderId="75" xfId="0" applyBorder="1" applyProtection="1"/>
    <xf numFmtId="1" fontId="0" fillId="0" borderId="27" xfId="0" applyNumberFormat="1" applyBorder="1" applyAlignment="1" applyProtection="1">
      <alignment horizontal="center"/>
    </xf>
    <xf numFmtId="1" fontId="0" fillId="0" borderId="28" xfId="0" applyNumberFormat="1" applyBorder="1" applyAlignment="1" applyProtection="1">
      <alignment horizontal="center"/>
    </xf>
    <xf numFmtId="0" fontId="0" fillId="0" borderId="76" xfId="0" applyBorder="1" applyAlignment="1" applyProtection="1">
      <alignment horizontal="center"/>
    </xf>
    <xf numFmtId="1" fontId="0" fillId="0" borderId="77" xfId="0" applyNumberFormat="1" applyBorder="1" applyAlignment="1" applyProtection="1">
      <alignment horizontal="center"/>
    </xf>
    <xf numFmtId="1" fontId="0" fillId="0" borderId="70" xfId="0" applyNumberFormat="1" applyBorder="1" applyAlignment="1" applyProtection="1">
      <alignment horizontal="center"/>
    </xf>
    <xf numFmtId="165" fontId="0" fillId="0" borderId="76" xfId="0" applyNumberFormat="1" applyBorder="1" applyAlignment="1" applyProtection="1">
      <alignment horizontal="center"/>
    </xf>
    <xf numFmtId="165" fontId="0" fillId="0" borderId="70" xfId="0" applyNumberFormat="1" applyBorder="1" applyAlignment="1" applyProtection="1">
      <alignment horizontal="center"/>
    </xf>
    <xf numFmtId="1" fontId="0" fillId="0" borderId="78" xfId="0" applyNumberFormat="1" applyBorder="1" applyAlignment="1" applyProtection="1">
      <alignment horizontal="center"/>
    </xf>
    <xf numFmtId="1" fontId="0" fillId="0" borderId="4" xfId="0" applyNumberFormat="1" applyBorder="1" applyAlignment="1" applyProtection="1">
      <alignment horizontal="center"/>
    </xf>
    <xf numFmtId="1" fontId="0" fillId="0" borderId="50" xfId="0" applyNumberFormat="1" applyBorder="1" applyAlignment="1" applyProtection="1">
      <alignment horizontal="center"/>
    </xf>
    <xf numFmtId="1" fontId="0" fillId="0" borderId="9" xfId="0" applyNumberFormat="1" applyBorder="1" applyAlignment="1" applyProtection="1">
      <alignment horizontal="center"/>
    </xf>
    <xf numFmtId="165" fontId="0" fillId="0" borderId="8" xfId="0" applyNumberFormat="1" applyBorder="1" applyAlignment="1" applyProtection="1">
      <alignment horizontal="center"/>
    </xf>
    <xf numFmtId="165" fontId="0" fillId="0" borderId="10" xfId="0" applyNumberFormat="1" applyBorder="1" applyAlignment="1" applyProtection="1">
      <alignment horizontal="center"/>
    </xf>
    <xf numFmtId="0" fontId="0" fillId="0" borderId="14" xfId="0" quotePrefix="1" applyBorder="1" applyAlignment="1" applyProtection="1">
      <alignment horizontal="center"/>
    </xf>
    <xf numFmtId="1" fontId="0" fillId="0" borderId="56" xfId="0" applyNumberFormat="1" applyBorder="1" applyAlignment="1" applyProtection="1">
      <alignment horizontal="center"/>
    </xf>
    <xf numFmtId="1" fontId="0" fillId="0" borderId="57" xfId="0" applyNumberFormat="1" applyBorder="1" applyAlignment="1" applyProtection="1">
      <alignment horizontal="center"/>
    </xf>
    <xf numFmtId="165" fontId="0" fillId="0" borderId="58" xfId="0" applyNumberFormat="1" applyBorder="1" applyAlignment="1" applyProtection="1">
      <alignment horizontal="center"/>
    </xf>
    <xf numFmtId="165" fontId="0" fillId="0" borderId="59" xfId="0" applyNumberFormat="1" applyBorder="1" applyAlignment="1" applyProtection="1">
      <alignment horizontal="center"/>
    </xf>
    <xf numFmtId="0" fontId="0" fillId="0" borderId="31" xfId="0" applyBorder="1" applyAlignment="1" applyProtection="1">
      <alignment horizontal="center"/>
    </xf>
    <xf numFmtId="0" fontId="0" fillId="3" borderId="73" xfId="0" applyFill="1" applyBorder="1" applyAlignment="1" applyProtection="1">
      <alignment horizontal="center"/>
    </xf>
    <xf numFmtId="1" fontId="0" fillId="3" borderId="32" xfId="0" applyNumberFormat="1" applyFill="1" applyBorder="1" applyAlignment="1" applyProtection="1">
      <alignment horizontal="center"/>
    </xf>
    <xf numFmtId="2" fontId="0" fillId="3" borderId="22" xfId="0" applyNumberFormat="1" applyFill="1" applyBorder="1" applyAlignment="1" applyProtection="1">
      <alignment horizontal="center"/>
    </xf>
    <xf numFmtId="2" fontId="0" fillId="3" borderId="23" xfId="0" applyNumberFormat="1" applyFill="1" applyBorder="1" applyAlignment="1" applyProtection="1">
      <alignment horizontal="center"/>
    </xf>
    <xf numFmtId="165" fontId="0" fillId="3" borderId="25" xfId="0" applyNumberFormat="1" applyFill="1" applyBorder="1" applyAlignment="1" applyProtection="1">
      <alignment horizontal="center"/>
    </xf>
    <xf numFmtId="165" fontId="0" fillId="3" borderId="22" xfId="0" applyNumberFormat="1" applyFill="1" applyBorder="1" applyAlignment="1" applyProtection="1">
      <alignment horizontal="center"/>
    </xf>
    <xf numFmtId="2" fontId="0" fillId="3" borderId="45" xfId="0" applyNumberFormat="1" applyFill="1" applyBorder="1" applyAlignment="1" applyProtection="1">
      <alignment horizontal="center"/>
    </xf>
    <xf numFmtId="1" fontId="0" fillId="3" borderId="26" xfId="0" applyNumberFormat="1" applyFill="1" applyBorder="1" applyAlignment="1" applyProtection="1">
      <alignment horizontal="center"/>
    </xf>
    <xf numFmtId="2" fontId="0" fillId="10" borderId="0" xfId="0" applyNumberFormat="1" applyFill="1" applyBorder="1" applyAlignment="1" applyProtection="1">
      <alignment horizontal="center"/>
    </xf>
    <xf numFmtId="2" fontId="0" fillId="10" borderId="7" xfId="0" applyNumberFormat="1" applyFill="1" applyBorder="1" applyAlignment="1" applyProtection="1">
      <alignment horizontal="center"/>
    </xf>
    <xf numFmtId="165" fontId="0" fillId="3" borderId="6" xfId="0" applyNumberFormat="1" applyFill="1" applyBorder="1" applyAlignment="1" applyProtection="1">
      <alignment horizontal="center"/>
    </xf>
    <xf numFmtId="165" fontId="0" fillId="3" borderId="0" xfId="0" applyNumberFormat="1" applyFill="1" applyBorder="1" applyAlignment="1" applyProtection="1">
      <alignment horizontal="center"/>
    </xf>
    <xf numFmtId="2" fontId="0" fillId="10" borderId="48" xfId="0" applyNumberFormat="1" applyFill="1" applyBorder="1" applyAlignment="1" applyProtection="1">
      <alignment horizontal="center"/>
    </xf>
    <xf numFmtId="0" fontId="0" fillId="10" borderId="0" xfId="0" applyFill="1" applyProtection="1"/>
    <xf numFmtId="1" fontId="0" fillId="10" borderId="0" xfId="0" applyNumberFormat="1" applyFill="1" applyBorder="1" applyAlignment="1" applyProtection="1">
      <alignment horizontal="center"/>
    </xf>
    <xf numFmtId="165" fontId="0" fillId="10" borderId="0" xfId="0" applyNumberFormat="1" applyFill="1" applyBorder="1" applyAlignment="1" applyProtection="1">
      <alignment horizontal="center"/>
    </xf>
    <xf numFmtId="165" fontId="0" fillId="10" borderId="7" xfId="0" applyNumberFormat="1" applyFill="1" applyBorder="1" applyAlignment="1" applyProtection="1">
      <alignment horizontal="center"/>
    </xf>
    <xf numFmtId="165" fontId="0" fillId="10" borderId="48" xfId="0" applyNumberFormat="1" applyFill="1" applyBorder="1" applyAlignment="1" applyProtection="1">
      <alignment horizontal="center"/>
    </xf>
    <xf numFmtId="0" fontId="0" fillId="3" borderId="33" xfId="0" applyFill="1" applyBorder="1" applyAlignment="1" applyProtection="1">
      <alignment horizontal="center"/>
    </xf>
    <xf numFmtId="0" fontId="0" fillId="3" borderId="76" xfId="0" applyFill="1" applyBorder="1" applyAlignment="1" applyProtection="1">
      <alignment horizontal="center"/>
    </xf>
    <xf numFmtId="1" fontId="0" fillId="3" borderId="77" xfId="0" applyNumberFormat="1" applyFill="1" applyBorder="1" applyAlignment="1" applyProtection="1">
      <alignment horizontal="center"/>
    </xf>
    <xf numFmtId="1" fontId="0" fillId="3" borderId="70" xfId="0" applyNumberFormat="1" applyFill="1" applyBorder="1" applyAlignment="1" applyProtection="1">
      <alignment horizontal="center"/>
    </xf>
    <xf numFmtId="165" fontId="0" fillId="0" borderId="76" xfId="0" applyNumberFormat="1" applyFill="1" applyBorder="1" applyAlignment="1" applyProtection="1">
      <alignment horizontal="center"/>
    </xf>
    <xf numFmtId="165" fontId="0" fillId="0" borderId="70" xfId="0" applyNumberFormat="1" applyFill="1" applyBorder="1" applyAlignment="1" applyProtection="1">
      <alignment horizontal="center"/>
    </xf>
    <xf numFmtId="165" fontId="0" fillId="0" borderId="79" xfId="0" applyNumberFormat="1" applyFill="1" applyBorder="1" applyAlignment="1" applyProtection="1">
      <alignment horizontal="center"/>
    </xf>
    <xf numFmtId="165" fontId="0" fillId="3" borderId="70" xfId="0" applyNumberFormat="1" applyFill="1" applyBorder="1" applyAlignment="1" applyProtection="1">
      <alignment horizontal="center"/>
    </xf>
    <xf numFmtId="1" fontId="0" fillId="3" borderId="67" xfId="0" applyNumberFormat="1" applyFill="1" applyBorder="1" applyAlignment="1" applyProtection="1">
      <alignment horizontal="center"/>
    </xf>
    <xf numFmtId="1" fontId="0" fillId="3" borderId="78" xfId="0" applyNumberFormat="1" applyFill="1" applyBorder="1" applyAlignment="1" applyProtection="1">
      <alignment horizontal="center"/>
    </xf>
    <xf numFmtId="2" fontId="0" fillId="10" borderId="4" xfId="0" applyNumberFormat="1" applyFill="1" applyBorder="1" applyAlignment="1" applyProtection="1">
      <alignment horizontal="center"/>
    </xf>
    <xf numFmtId="165" fontId="0" fillId="0" borderId="3" xfId="0" applyNumberFormat="1" applyFill="1" applyBorder="1" applyAlignment="1" applyProtection="1">
      <alignment horizontal="center"/>
    </xf>
    <xf numFmtId="165" fontId="0" fillId="0" borderId="4" xfId="0" applyNumberFormat="1" applyFill="1" applyBorder="1" applyAlignment="1" applyProtection="1">
      <alignment horizontal="center"/>
    </xf>
    <xf numFmtId="165" fontId="0" fillId="0" borderId="5" xfId="0" applyNumberFormat="1" applyFill="1" applyBorder="1" applyAlignment="1" applyProtection="1">
      <alignment horizontal="center"/>
    </xf>
    <xf numFmtId="165" fontId="0" fillId="3" borderId="4" xfId="0" applyNumberFormat="1" applyFill="1" applyBorder="1" applyAlignment="1" applyProtection="1">
      <alignment horizontal="center"/>
    </xf>
    <xf numFmtId="0" fontId="0" fillId="10" borderId="72" xfId="0" applyFill="1" applyBorder="1" applyProtection="1"/>
    <xf numFmtId="165" fontId="0" fillId="0" borderId="6" xfId="0" applyNumberFormat="1" applyFill="1" applyBorder="1" applyAlignment="1" applyProtection="1">
      <alignment horizontal="center"/>
    </xf>
    <xf numFmtId="165" fontId="0" fillId="0" borderId="7" xfId="0" applyNumberFormat="1" applyFill="1" applyBorder="1" applyAlignment="1" applyProtection="1">
      <alignment horizontal="center"/>
    </xf>
    <xf numFmtId="165" fontId="0" fillId="10" borderId="51" xfId="0" applyNumberFormat="1" applyFill="1" applyBorder="1" applyAlignment="1" applyProtection="1">
      <alignment horizontal="center"/>
    </xf>
    <xf numFmtId="0" fontId="0" fillId="3" borderId="13" xfId="0" quotePrefix="1" applyFill="1" applyBorder="1" applyAlignment="1" applyProtection="1">
      <alignment horizontal="center"/>
    </xf>
    <xf numFmtId="0" fontId="0" fillId="3" borderId="47" xfId="0" applyFill="1" applyBorder="1" applyAlignment="1" applyProtection="1">
      <alignment horizontal="center"/>
    </xf>
    <xf numFmtId="1" fontId="0" fillId="3" borderId="4" xfId="0" applyNumberFormat="1" applyFill="1" applyBorder="1" applyAlignment="1" applyProtection="1">
      <alignment horizontal="center"/>
    </xf>
    <xf numFmtId="1" fontId="0" fillId="3" borderId="72" xfId="0" applyNumberFormat="1" applyFill="1" applyBorder="1" applyAlignment="1" applyProtection="1">
      <alignment horizontal="center"/>
    </xf>
    <xf numFmtId="0" fontId="0" fillId="3" borderId="14" xfId="0" applyFill="1" applyBorder="1" applyAlignment="1" applyProtection="1">
      <alignment horizontal="center"/>
    </xf>
    <xf numFmtId="0" fontId="0" fillId="3" borderId="6" xfId="0" applyFill="1" applyBorder="1" applyAlignment="1" applyProtection="1">
      <alignment horizontal="center"/>
    </xf>
    <xf numFmtId="1" fontId="0" fillId="3" borderId="0" xfId="0" applyNumberFormat="1" applyFill="1" applyBorder="1" applyAlignment="1" applyProtection="1">
      <alignment horizontal="center"/>
    </xf>
    <xf numFmtId="1" fontId="0" fillId="3" borderId="48" xfId="0" applyNumberFormat="1" applyFill="1" applyBorder="1" applyAlignment="1" applyProtection="1">
      <alignment horizontal="center"/>
    </xf>
    <xf numFmtId="1" fontId="0" fillId="3" borderId="56" xfId="0" applyNumberFormat="1" applyFill="1" applyBorder="1" applyAlignment="1" applyProtection="1">
      <alignment horizontal="center"/>
    </xf>
    <xf numFmtId="2" fontId="0" fillId="10" borderId="57" xfId="0" applyNumberFormat="1" applyFill="1" applyBorder="1" applyAlignment="1" applyProtection="1">
      <alignment horizontal="center"/>
    </xf>
    <xf numFmtId="165" fontId="0" fillId="3" borderId="57" xfId="0" applyNumberFormat="1" applyFill="1" applyBorder="1" applyAlignment="1" applyProtection="1">
      <alignment horizontal="center"/>
    </xf>
    <xf numFmtId="2" fontId="0" fillId="10" borderId="55" xfId="0" applyNumberFormat="1" applyFill="1" applyBorder="1" applyAlignment="1" applyProtection="1">
      <alignment horizontal="center"/>
    </xf>
    <xf numFmtId="1" fontId="0" fillId="3" borderId="27" xfId="0" applyNumberFormat="1" applyFill="1" applyBorder="1" applyAlignment="1" applyProtection="1">
      <alignment horizontal="center"/>
    </xf>
    <xf numFmtId="1" fontId="0" fillId="10" borderId="28" xfId="0" applyNumberFormat="1" applyFill="1" applyBorder="1" applyAlignment="1" applyProtection="1">
      <alignment horizontal="center"/>
    </xf>
    <xf numFmtId="165" fontId="0" fillId="3" borderId="28" xfId="0" applyNumberFormat="1" applyFill="1" applyBorder="1" applyAlignment="1" applyProtection="1">
      <alignment horizontal="center"/>
    </xf>
    <xf numFmtId="165" fontId="0" fillId="10" borderId="28" xfId="0" applyNumberFormat="1" applyFill="1" applyBorder="1" applyAlignment="1" applyProtection="1">
      <alignment horizontal="center"/>
    </xf>
    <xf numFmtId="165" fontId="0" fillId="10" borderId="71" xfId="0" applyNumberFormat="1" applyFill="1" applyBorder="1" applyAlignment="1" applyProtection="1">
      <alignment horizontal="center"/>
    </xf>
    <xf numFmtId="0" fontId="0" fillId="8" borderId="0" xfId="0" applyFill="1" applyAlignment="1" applyProtection="1">
      <alignment horizontal="left"/>
    </xf>
    <xf numFmtId="1" fontId="0" fillId="0" borderId="32" xfId="0" applyNumberFormat="1" applyFill="1" applyBorder="1" applyAlignment="1" applyProtection="1">
      <alignment horizontal="center"/>
    </xf>
    <xf numFmtId="1" fontId="0" fillId="0" borderId="23" xfId="0" applyNumberFormat="1" applyFill="1" applyBorder="1" applyAlignment="1" applyProtection="1">
      <alignment horizontal="center"/>
    </xf>
    <xf numFmtId="1" fontId="0" fillId="0" borderId="25" xfId="0" applyNumberFormat="1" applyFill="1" applyBorder="1" applyAlignment="1" applyProtection="1">
      <alignment horizontal="center"/>
    </xf>
    <xf numFmtId="165" fontId="0" fillId="0" borderId="23" xfId="0" applyNumberFormat="1" applyFill="1" applyBorder="1" applyAlignment="1" applyProtection="1">
      <alignment horizontal="center"/>
    </xf>
    <xf numFmtId="1" fontId="0" fillId="0" borderId="45" xfId="0" applyNumberFormat="1" applyFill="1" applyBorder="1" applyAlignment="1" applyProtection="1">
      <alignment horizontal="center"/>
    </xf>
    <xf numFmtId="0" fontId="0" fillId="10" borderId="6" xfId="0" applyFill="1" applyBorder="1" applyAlignment="1" applyProtection="1">
      <alignment horizontal="center"/>
    </xf>
    <xf numFmtId="1" fontId="0" fillId="0" borderId="26" xfId="0" applyNumberFormat="1" applyFill="1" applyBorder="1" applyAlignment="1" applyProtection="1">
      <alignment horizontal="center"/>
    </xf>
    <xf numFmtId="1" fontId="0" fillId="0" borderId="6" xfId="0" applyNumberFormat="1" applyFill="1" applyBorder="1" applyAlignment="1" applyProtection="1">
      <alignment horizontal="center"/>
    </xf>
    <xf numFmtId="1" fontId="0" fillId="0" borderId="0" xfId="0" applyNumberFormat="1" applyFill="1" applyBorder="1" applyAlignment="1" applyProtection="1">
      <alignment horizontal="center"/>
    </xf>
    <xf numFmtId="165" fontId="6" fillId="0" borderId="0" xfId="0" applyNumberFormat="1" applyFont="1" applyFill="1" applyBorder="1" applyAlignment="1" applyProtection="1">
      <alignment horizontal="center"/>
    </xf>
    <xf numFmtId="0" fontId="11" fillId="0" borderId="38" xfId="0" applyFont="1" applyBorder="1" applyProtection="1"/>
    <xf numFmtId="1" fontId="11" fillId="0" borderId="39" xfId="0" applyNumberFormat="1" applyFont="1" applyBorder="1" applyAlignment="1" applyProtection="1">
      <alignment horizontal="center"/>
    </xf>
    <xf numFmtId="0" fontId="11" fillId="0" borderId="39" xfId="0" applyFont="1" applyBorder="1" applyAlignment="1" applyProtection="1">
      <alignment horizontal="right"/>
    </xf>
    <xf numFmtId="1" fontId="11" fillId="0" borderId="38" xfId="0" applyNumberFormat="1" applyFont="1" applyFill="1" applyBorder="1" applyAlignment="1" applyProtection="1">
      <alignment horizontal="center"/>
    </xf>
    <xf numFmtId="1" fontId="11" fillId="0" borderId="39" xfId="0" applyNumberFormat="1" applyFont="1" applyFill="1" applyBorder="1" applyAlignment="1" applyProtection="1">
      <alignment horizontal="center"/>
    </xf>
    <xf numFmtId="165" fontId="11" fillId="0" borderId="39" xfId="0" applyNumberFormat="1" applyFont="1" applyFill="1" applyBorder="1" applyAlignment="1" applyProtection="1">
      <alignment horizontal="center"/>
    </xf>
    <xf numFmtId="165" fontId="11" fillId="0" borderId="69" xfId="0" applyNumberFormat="1" applyFont="1" applyFill="1" applyBorder="1" applyAlignment="1" applyProtection="1">
      <alignment horizontal="center"/>
    </xf>
    <xf numFmtId="0" fontId="0" fillId="8" borderId="0" xfId="0" applyFill="1" applyAlignment="1" applyProtection="1">
      <alignment horizontal="right"/>
    </xf>
    <xf numFmtId="0" fontId="0" fillId="8" borderId="45" xfId="0" applyFill="1" applyBorder="1" applyAlignment="1" applyProtection="1">
      <alignment horizontal="center"/>
    </xf>
    <xf numFmtId="0" fontId="0" fillId="0" borderId="48" xfId="0" applyBorder="1" applyProtection="1"/>
    <xf numFmtId="1" fontId="0" fillId="0" borderId="70" xfId="0" applyNumberFormat="1" applyFill="1" applyBorder="1" applyAlignment="1" applyProtection="1">
      <alignment horizontal="center"/>
    </xf>
    <xf numFmtId="0" fontId="0" fillId="10" borderId="13" xfId="0" applyFill="1" applyBorder="1" applyAlignment="1" applyProtection="1">
      <alignment horizontal="center"/>
    </xf>
    <xf numFmtId="1" fontId="0" fillId="0" borderId="78" xfId="0" applyNumberFormat="1" applyFill="1" applyBorder="1" applyAlignment="1" applyProtection="1">
      <alignment horizontal="center"/>
    </xf>
    <xf numFmtId="1" fontId="0" fillId="10" borderId="4" xfId="0" applyNumberFormat="1" applyFill="1" applyBorder="1" applyAlignment="1" applyProtection="1">
      <alignment horizontal="center"/>
    </xf>
    <xf numFmtId="165" fontId="0" fillId="10" borderId="4" xfId="0" applyNumberFormat="1" applyFill="1" applyBorder="1" applyAlignment="1" applyProtection="1">
      <alignment horizontal="center"/>
    </xf>
    <xf numFmtId="0" fontId="0" fillId="0" borderId="13" xfId="0" quotePrefix="1" applyFill="1" applyBorder="1" applyAlignment="1" applyProtection="1">
      <alignment horizontal="center"/>
    </xf>
    <xf numFmtId="0" fontId="0" fillId="0" borderId="47" xfId="0" applyFill="1" applyBorder="1" applyAlignment="1" applyProtection="1">
      <alignment horizontal="center"/>
    </xf>
    <xf numFmtId="1" fontId="0" fillId="0" borderId="4" xfId="0" applyNumberFormat="1" applyFill="1" applyBorder="1" applyAlignment="1" applyProtection="1">
      <alignment horizontal="center"/>
    </xf>
    <xf numFmtId="165" fontId="0" fillId="0" borderId="72" xfId="0" applyNumberFormat="1" applyFill="1" applyBorder="1" applyAlignment="1" applyProtection="1">
      <alignment horizontal="center"/>
    </xf>
    <xf numFmtId="0" fontId="0" fillId="0" borderId="14" xfId="0" applyFill="1" applyBorder="1" applyAlignment="1" applyProtection="1">
      <alignment horizontal="center"/>
    </xf>
    <xf numFmtId="165" fontId="0" fillId="0" borderId="48" xfId="0" applyNumberFormat="1" applyFill="1" applyBorder="1" applyAlignment="1" applyProtection="1">
      <alignment horizontal="center"/>
    </xf>
    <xf numFmtId="0" fontId="0" fillId="0" borderId="80" xfId="0" applyFill="1" applyBorder="1" applyAlignment="1" applyProtection="1">
      <alignment horizontal="center"/>
    </xf>
    <xf numFmtId="0" fontId="11" fillId="0" borderId="0" xfId="0" applyFont="1" applyFill="1" applyBorder="1" applyAlignment="1" applyProtection="1">
      <alignment horizontal="right"/>
    </xf>
    <xf numFmtId="1" fontId="11" fillId="0" borderId="26" xfId="0" applyNumberFormat="1" applyFont="1" applyFill="1" applyBorder="1" applyAlignment="1" applyProtection="1">
      <alignment horizontal="center"/>
    </xf>
    <xf numFmtId="1" fontId="11" fillId="0" borderId="0" xfId="0" applyNumberFormat="1" applyFont="1" applyFill="1" applyBorder="1" applyAlignment="1" applyProtection="1">
      <alignment horizontal="center"/>
    </xf>
    <xf numFmtId="165" fontId="11" fillId="0" borderId="6" xfId="0" applyNumberFormat="1" applyFont="1" applyFill="1" applyBorder="1" applyAlignment="1" applyProtection="1">
      <alignment horizontal="center"/>
    </xf>
    <xf numFmtId="165" fontId="11" fillId="0" borderId="0" xfId="0" applyNumberFormat="1" applyFont="1" applyFill="1" applyBorder="1" applyAlignment="1" applyProtection="1">
      <alignment horizontal="center"/>
    </xf>
    <xf numFmtId="165" fontId="11" fillId="0" borderId="7" xfId="0" applyNumberFormat="1" applyFont="1" applyFill="1" applyBorder="1" applyAlignment="1" applyProtection="1">
      <alignment horizontal="center"/>
    </xf>
    <xf numFmtId="165" fontId="11" fillId="0" borderId="48" xfId="0" applyNumberFormat="1" applyFont="1" applyFill="1" applyBorder="1" applyAlignment="1" applyProtection="1">
      <alignment horizontal="center"/>
    </xf>
    <xf numFmtId="0" fontId="0" fillId="10" borderId="81" xfId="0" applyFill="1" applyBorder="1" applyAlignment="1" applyProtection="1">
      <alignment horizontal="center"/>
    </xf>
    <xf numFmtId="1" fontId="0" fillId="0" borderId="64" xfId="0" applyNumberFormat="1" applyFill="1" applyBorder="1" applyAlignment="1" applyProtection="1">
      <alignment horizontal="center"/>
    </xf>
    <xf numFmtId="1" fontId="0" fillId="10" borderId="66" xfId="0" applyNumberFormat="1" applyFill="1" applyBorder="1" applyAlignment="1" applyProtection="1">
      <alignment horizontal="center"/>
    </xf>
    <xf numFmtId="165" fontId="0" fillId="0" borderId="65" xfId="0" applyNumberFormat="1" applyFill="1" applyBorder="1" applyAlignment="1" applyProtection="1">
      <alignment horizontal="center"/>
    </xf>
    <xf numFmtId="165" fontId="0" fillId="0" borderId="66" xfId="0" applyNumberFormat="1" applyFill="1" applyBorder="1" applyAlignment="1" applyProtection="1">
      <alignment horizontal="center"/>
    </xf>
    <xf numFmtId="165" fontId="0" fillId="10" borderId="66" xfId="0" applyNumberFormat="1" applyFill="1" applyBorder="1" applyAlignment="1" applyProtection="1">
      <alignment horizontal="center"/>
    </xf>
    <xf numFmtId="165" fontId="0" fillId="10" borderId="82" xfId="0" applyNumberFormat="1" applyFill="1" applyBorder="1" applyAlignment="1" applyProtection="1">
      <alignment horizontal="center"/>
    </xf>
    <xf numFmtId="0" fontId="0" fillId="0" borderId="0" xfId="0" applyAlignment="1" applyProtection="1">
      <alignment horizontal="right"/>
    </xf>
    <xf numFmtId="0" fontId="13" fillId="0" borderId="83" xfId="0" applyFont="1" applyBorder="1" applyProtection="1"/>
    <xf numFmtId="0" fontId="0" fillId="0" borderId="83" xfId="0" applyBorder="1" applyProtection="1"/>
    <xf numFmtId="0" fontId="0" fillId="0" borderId="83" xfId="0" applyFill="1" applyBorder="1" applyAlignment="1" applyProtection="1">
      <alignment horizontal="center"/>
    </xf>
    <xf numFmtId="2" fontId="0" fillId="11" borderId="84" xfId="0" applyNumberFormat="1" applyFill="1" applyBorder="1" applyAlignment="1" applyProtection="1">
      <alignment horizontal="center"/>
    </xf>
    <xf numFmtId="2" fontId="0" fillId="11" borderId="22" xfId="0" applyNumberFormat="1" applyFill="1" applyBorder="1" applyAlignment="1" applyProtection="1">
      <alignment horizontal="center"/>
    </xf>
    <xf numFmtId="2" fontId="0" fillId="11" borderId="23" xfId="0" applyNumberFormat="1" applyFill="1" applyBorder="1" applyAlignment="1" applyProtection="1">
      <alignment horizontal="center"/>
    </xf>
    <xf numFmtId="2" fontId="0" fillId="11" borderId="25" xfId="0" applyNumberFormat="1" applyFill="1" applyBorder="1" applyAlignment="1" applyProtection="1">
      <alignment horizontal="center"/>
    </xf>
    <xf numFmtId="2" fontId="0" fillId="11" borderId="45" xfId="0" applyNumberFormat="1" applyFill="1" applyBorder="1" applyAlignment="1" applyProtection="1">
      <alignment horizontal="center"/>
    </xf>
    <xf numFmtId="165" fontId="0" fillId="11" borderId="83" xfId="0" applyNumberFormat="1" applyFill="1" applyBorder="1" applyAlignment="1" applyProtection="1">
      <alignment horizontal="center"/>
    </xf>
    <xf numFmtId="165" fontId="0" fillId="11" borderId="0" xfId="0" applyNumberFormat="1" applyFill="1" applyBorder="1" applyAlignment="1" applyProtection="1">
      <alignment horizontal="center"/>
    </xf>
    <xf numFmtId="165" fontId="0" fillId="11" borderId="7" xfId="0" applyNumberFormat="1" applyFill="1" applyBorder="1" applyAlignment="1" applyProtection="1">
      <alignment horizontal="center"/>
    </xf>
    <xf numFmtId="165" fontId="0" fillId="11" borderId="6" xfId="0" applyNumberFormat="1" applyFill="1" applyBorder="1" applyAlignment="1" applyProtection="1">
      <alignment horizontal="center"/>
    </xf>
    <xf numFmtId="165" fontId="0" fillId="11" borderId="48" xfId="0" applyNumberFormat="1" applyFill="1" applyBorder="1" applyAlignment="1" applyProtection="1">
      <alignment horizontal="center"/>
    </xf>
    <xf numFmtId="165" fontId="0" fillId="0" borderId="83" xfId="0" applyNumberFormat="1" applyFill="1" applyBorder="1" applyAlignment="1" applyProtection="1">
      <alignment horizontal="center"/>
    </xf>
    <xf numFmtId="165" fontId="0" fillId="3" borderId="76" xfId="0" applyNumberFormat="1" applyFill="1" applyBorder="1" applyAlignment="1" applyProtection="1">
      <alignment horizontal="center"/>
    </xf>
    <xf numFmtId="165" fontId="0" fillId="3" borderId="79" xfId="0" applyNumberFormat="1" applyFill="1" applyBorder="1" applyAlignment="1" applyProtection="1">
      <alignment horizontal="center"/>
    </xf>
    <xf numFmtId="165" fontId="0" fillId="3" borderId="85" xfId="0" applyNumberFormat="1" applyFill="1" applyBorder="1" applyAlignment="1" applyProtection="1">
      <alignment horizontal="center"/>
    </xf>
    <xf numFmtId="165" fontId="0" fillId="3" borderId="67" xfId="0" applyNumberFormat="1" applyFill="1" applyBorder="1" applyAlignment="1" applyProtection="1">
      <alignment horizontal="center"/>
    </xf>
    <xf numFmtId="2" fontId="0" fillId="11" borderId="86" xfId="0" quotePrefix="1" applyNumberFormat="1" applyFill="1" applyBorder="1" applyAlignment="1" applyProtection="1">
      <alignment horizontal="center"/>
    </xf>
    <xf numFmtId="2" fontId="0" fillId="11" borderId="4" xfId="0" applyNumberFormat="1" applyFill="1" applyBorder="1" applyAlignment="1" applyProtection="1">
      <alignment horizontal="center"/>
    </xf>
    <xf numFmtId="2" fontId="0" fillId="11" borderId="72" xfId="0" applyNumberFormat="1" applyFill="1" applyBorder="1" applyAlignment="1" applyProtection="1">
      <alignment horizontal="center"/>
    </xf>
    <xf numFmtId="165" fontId="0" fillId="0" borderId="9" xfId="0" applyNumberFormat="1" applyFill="1" applyBorder="1" applyAlignment="1" applyProtection="1">
      <alignment horizontal="center"/>
    </xf>
    <xf numFmtId="165" fontId="0" fillId="0" borderId="87" xfId="0" applyNumberFormat="1" applyFill="1" applyBorder="1" applyAlignment="1" applyProtection="1">
      <alignment horizontal="center"/>
    </xf>
    <xf numFmtId="165" fontId="0" fillId="3" borderId="86" xfId="0" applyNumberFormat="1" applyFill="1" applyBorder="1" applyAlignment="1" applyProtection="1">
      <alignment horizontal="center"/>
    </xf>
    <xf numFmtId="165" fontId="0" fillId="3" borderId="3" xfId="0" applyNumberFormat="1" applyFill="1" applyBorder="1" applyAlignment="1" applyProtection="1">
      <alignment horizontal="center"/>
    </xf>
    <xf numFmtId="165" fontId="0" fillId="3" borderId="5" xfId="0" applyNumberFormat="1" applyFill="1" applyBorder="1" applyAlignment="1" applyProtection="1">
      <alignment horizontal="center"/>
    </xf>
    <xf numFmtId="165" fontId="0" fillId="3" borderId="72" xfId="0" applyNumberFormat="1" applyFill="1" applyBorder="1" applyAlignment="1" applyProtection="1">
      <alignment horizontal="center"/>
    </xf>
    <xf numFmtId="2" fontId="0" fillId="11" borderId="88" xfId="0" applyNumberFormat="1" applyFill="1" applyBorder="1" applyAlignment="1" applyProtection="1">
      <alignment horizontal="center"/>
    </xf>
    <xf numFmtId="2" fontId="0" fillId="11" borderId="57" xfId="0" applyNumberFormat="1" applyFill="1" applyBorder="1" applyAlignment="1" applyProtection="1">
      <alignment horizontal="center"/>
    </xf>
    <xf numFmtId="2" fontId="0" fillId="11" borderId="55" xfId="0" applyNumberFormat="1" applyFill="1" applyBorder="1" applyAlignment="1" applyProtection="1">
      <alignment horizontal="center"/>
    </xf>
    <xf numFmtId="165" fontId="0" fillId="0" borderId="28" xfId="0" applyNumberFormat="1" applyFill="1" applyBorder="1" applyAlignment="1" applyProtection="1">
      <alignment horizontal="center"/>
    </xf>
    <xf numFmtId="165" fontId="0" fillId="0" borderId="89" xfId="0" applyNumberFormat="1" applyFill="1" applyBorder="1" applyAlignment="1" applyProtection="1">
      <alignment horizontal="center"/>
    </xf>
    <xf numFmtId="0" fontId="6" fillId="0" borderId="4" xfId="0" applyFont="1" applyBorder="1" applyAlignment="1" applyProtection="1">
      <alignment horizontal="center"/>
    </xf>
    <xf numFmtId="165" fontId="6" fillId="0" borderId="5" xfId="0" applyNumberFormat="1" applyFont="1" applyBorder="1" applyAlignment="1" applyProtection="1">
      <alignment horizontal="center"/>
    </xf>
    <xf numFmtId="1" fontId="6" fillId="0" borderId="0" xfId="0" applyNumberFormat="1" applyFont="1" applyBorder="1" applyAlignment="1" applyProtection="1">
      <alignment horizontal="center"/>
    </xf>
    <xf numFmtId="165" fontId="6" fillId="0" borderId="7" xfId="0" applyNumberFormat="1" applyFont="1" applyBorder="1" applyAlignment="1" applyProtection="1">
      <alignment horizontal="center"/>
    </xf>
    <xf numFmtId="0" fontId="6" fillId="0" borderId="0" xfId="0" applyFont="1" applyBorder="1" applyAlignment="1" applyProtection="1">
      <alignment horizontal="center"/>
    </xf>
    <xf numFmtId="1" fontId="0" fillId="0" borderId="9" xfId="0" applyNumberFormat="1" applyFill="1" applyBorder="1" applyAlignment="1" applyProtection="1">
      <alignment horizontal="center"/>
    </xf>
    <xf numFmtId="0" fontId="6" fillId="0" borderId="9" xfId="0" applyFont="1" applyBorder="1" applyAlignment="1" applyProtection="1">
      <alignment horizontal="center"/>
    </xf>
    <xf numFmtId="165" fontId="0" fillId="0" borderId="8" xfId="0" applyNumberFormat="1" applyFill="1" applyBorder="1" applyAlignment="1" applyProtection="1">
      <alignment horizontal="center"/>
    </xf>
    <xf numFmtId="165" fontId="6" fillId="0" borderId="10" xfId="0" applyNumberFormat="1" applyFont="1" applyBorder="1" applyAlignment="1" applyProtection="1">
      <alignment horizontal="center"/>
    </xf>
    <xf numFmtId="0" fontId="0" fillId="0" borderId="4" xfId="0" applyBorder="1" applyAlignment="1" applyProtection="1">
      <alignment horizontal="right"/>
    </xf>
    <xf numFmtId="0" fontId="0" fillId="0" borderId="0" xfId="0" applyBorder="1" applyAlignment="1" applyProtection="1">
      <alignment horizontal="right"/>
    </xf>
    <xf numFmtId="0" fontId="0" fillId="0" borderId="9" xfId="0" applyBorder="1" applyAlignment="1" applyProtection="1">
      <alignment horizontal="right"/>
    </xf>
    <xf numFmtId="0" fontId="0" fillId="0" borderId="11" xfId="0" applyBorder="1" applyAlignment="1" applyProtection="1">
      <alignment horizontal="right"/>
    </xf>
    <xf numFmtId="0" fontId="0" fillId="0" borderId="11" xfId="0" applyFill="1" applyBorder="1" applyAlignment="1" applyProtection="1">
      <alignment horizontal="center"/>
    </xf>
    <xf numFmtId="0" fontId="0" fillId="3" borderId="22" xfId="0" applyFill="1" applyBorder="1" applyAlignment="1" applyProtection="1">
      <alignment horizontal="center"/>
    </xf>
    <xf numFmtId="0" fontId="0" fillId="0" borderId="32" xfId="0" applyFill="1" applyBorder="1" applyAlignment="1" applyProtection="1">
      <alignment horizontal="center"/>
    </xf>
    <xf numFmtId="0" fontId="0" fillId="0" borderId="22" xfId="0" applyFill="1" applyBorder="1" applyAlignment="1" applyProtection="1">
      <alignment horizontal="center"/>
    </xf>
    <xf numFmtId="165" fontId="0" fillId="0" borderId="45" xfId="0" applyNumberFormat="1" applyFill="1" applyBorder="1" applyAlignment="1" applyProtection="1">
      <alignment horizontal="center"/>
    </xf>
    <xf numFmtId="0" fontId="0" fillId="3" borderId="0" xfId="0" applyFill="1" applyBorder="1" applyAlignment="1" applyProtection="1">
      <alignment horizontal="center"/>
    </xf>
    <xf numFmtId="0" fontId="0" fillId="3" borderId="57" xfId="0" applyFill="1" applyBorder="1" applyAlignment="1" applyProtection="1">
      <alignment horizontal="center"/>
    </xf>
    <xf numFmtId="165" fontId="0" fillId="0" borderId="58" xfId="0" applyNumberFormat="1" applyFill="1" applyBorder="1" applyAlignment="1" applyProtection="1">
      <alignment horizontal="center"/>
    </xf>
    <xf numFmtId="0" fontId="0" fillId="0" borderId="29" xfId="0" applyBorder="1" applyAlignment="1" applyProtection="1">
      <alignment horizontal="center"/>
    </xf>
    <xf numFmtId="0" fontId="0" fillId="3" borderId="28" xfId="0" applyFill="1" applyBorder="1" applyAlignment="1" applyProtection="1">
      <alignment horizontal="center"/>
    </xf>
    <xf numFmtId="165" fontId="0" fillId="0" borderId="31" xfId="0" applyNumberFormat="1" applyFill="1" applyBorder="1" applyAlignment="1" applyProtection="1">
      <alignment horizontal="center"/>
    </xf>
    <xf numFmtId="0" fontId="0" fillId="0" borderId="24" xfId="0" applyBorder="1" applyAlignment="1" applyProtection="1">
      <alignment horizontal="center"/>
    </xf>
    <xf numFmtId="1" fontId="0" fillId="3" borderId="22" xfId="0" applyNumberFormat="1" applyFill="1" applyBorder="1" applyAlignment="1" applyProtection="1">
      <alignment horizontal="center"/>
    </xf>
    <xf numFmtId="165" fontId="0" fillId="3" borderId="45" xfId="0" applyNumberFormat="1" applyFill="1" applyBorder="1" applyAlignment="1" applyProtection="1">
      <alignment horizontal="center"/>
    </xf>
    <xf numFmtId="165" fontId="0" fillId="3" borderId="48" xfId="0" applyNumberFormat="1" applyFill="1" applyBorder="1" applyAlignment="1" applyProtection="1">
      <alignment horizontal="center"/>
    </xf>
    <xf numFmtId="1" fontId="0" fillId="3" borderId="57" xfId="0" applyNumberFormat="1" applyFill="1" applyBorder="1" applyAlignment="1" applyProtection="1">
      <alignment horizontal="center"/>
    </xf>
    <xf numFmtId="165" fontId="0" fillId="3" borderId="58" xfId="0" applyNumberFormat="1" applyFill="1" applyBorder="1" applyAlignment="1" applyProtection="1">
      <alignment horizontal="center"/>
    </xf>
    <xf numFmtId="165" fontId="0" fillId="3" borderId="55" xfId="0" applyNumberFormat="1" applyFill="1" applyBorder="1" applyAlignment="1" applyProtection="1">
      <alignment horizontal="center"/>
    </xf>
    <xf numFmtId="0" fontId="0" fillId="0" borderId="90" xfId="0" applyBorder="1" applyAlignment="1" applyProtection="1">
      <alignment horizontal="center"/>
    </xf>
    <xf numFmtId="1" fontId="0" fillId="3" borderId="50" xfId="0" applyNumberFormat="1" applyFill="1" applyBorder="1" applyAlignment="1" applyProtection="1">
      <alignment horizontal="center"/>
    </xf>
    <xf numFmtId="1" fontId="0" fillId="3" borderId="9" xfId="0" applyNumberFormat="1" applyFill="1" applyBorder="1" applyAlignment="1" applyProtection="1">
      <alignment horizontal="center"/>
    </xf>
    <xf numFmtId="165" fontId="0" fillId="0" borderId="10" xfId="0" applyNumberFormat="1" applyFill="1" applyBorder="1" applyAlignment="1" applyProtection="1">
      <alignment horizontal="center"/>
    </xf>
    <xf numFmtId="165" fontId="0" fillId="3" borderId="8" xfId="0" applyNumberFormat="1" applyFill="1" applyBorder="1" applyAlignment="1" applyProtection="1">
      <alignment horizontal="center"/>
    </xf>
    <xf numFmtId="165" fontId="0" fillId="3" borderId="9" xfId="0" applyNumberFormat="1" applyFill="1" applyBorder="1" applyAlignment="1" applyProtection="1">
      <alignment horizontal="center"/>
    </xf>
    <xf numFmtId="165" fontId="0" fillId="3" borderId="51" xfId="0" applyNumberFormat="1" applyFill="1" applyBorder="1" applyAlignment="1" applyProtection="1">
      <alignment horizontal="center"/>
    </xf>
    <xf numFmtId="0" fontId="0" fillId="0" borderId="78" xfId="0" applyBorder="1" applyAlignment="1" applyProtection="1">
      <alignment horizontal="center"/>
    </xf>
    <xf numFmtId="0" fontId="0" fillId="3" borderId="4" xfId="0" applyFill="1" applyBorder="1" applyProtection="1"/>
    <xf numFmtId="0" fontId="0" fillId="3" borderId="72" xfId="0" applyFill="1" applyBorder="1" applyProtection="1"/>
    <xf numFmtId="0" fontId="0" fillId="3" borderId="0" xfId="0" applyFill="1" applyBorder="1" applyProtection="1"/>
    <xf numFmtId="0" fontId="0" fillId="3" borderId="48" xfId="0" applyFill="1" applyBorder="1" applyProtection="1"/>
    <xf numFmtId="0" fontId="0" fillId="0" borderId="54" xfId="0" applyFill="1" applyBorder="1" applyAlignment="1" applyProtection="1">
      <alignment horizontal="center"/>
    </xf>
    <xf numFmtId="0" fontId="0" fillId="3" borderId="57" xfId="0" applyFill="1" applyBorder="1" applyProtection="1"/>
    <xf numFmtId="0" fontId="0" fillId="3" borderId="55" xfId="0" applyFill="1" applyBorder="1" applyProtection="1"/>
    <xf numFmtId="0" fontId="0" fillId="0" borderId="27" xfId="0" applyBorder="1" applyAlignment="1" applyProtection="1">
      <alignment horizontal="center"/>
    </xf>
    <xf numFmtId="0" fontId="0" fillId="0" borderId="28" xfId="0" applyFill="1" applyBorder="1" applyAlignment="1" applyProtection="1">
      <alignment horizontal="center"/>
    </xf>
    <xf numFmtId="0" fontId="0" fillId="3" borderId="28" xfId="0" applyFill="1" applyBorder="1" applyProtection="1"/>
    <xf numFmtId="0" fontId="0" fillId="3" borderId="71" xfId="0" applyFill="1" applyBorder="1" applyProtection="1"/>
    <xf numFmtId="0" fontId="0" fillId="3" borderId="32" xfId="0" applyFill="1" applyBorder="1" applyAlignment="1" applyProtection="1">
      <alignment horizontal="center"/>
    </xf>
    <xf numFmtId="0" fontId="0" fillId="3" borderId="26" xfId="0" applyFill="1" applyBorder="1" applyAlignment="1" applyProtection="1">
      <alignment horizontal="center"/>
    </xf>
    <xf numFmtId="0" fontId="0" fillId="10" borderId="54" xfId="0" applyFill="1" applyBorder="1" applyAlignment="1" applyProtection="1">
      <alignment horizontal="center"/>
    </xf>
    <xf numFmtId="2" fontId="0" fillId="3" borderId="58" xfId="0" applyNumberFormat="1" applyFill="1" applyBorder="1" applyAlignment="1" applyProtection="1">
      <alignment horizontal="center"/>
    </xf>
    <xf numFmtId="2" fontId="0" fillId="3" borderId="56" xfId="0" applyNumberFormat="1" applyFill="1" applyBorder="1" applyAlignment="1" applyProtection="1">
      <alignment horizontal="center"/>
    </xf>
    <xf numFmtId="0" fontId="0" fillId="10" borderId="7" xfId="0" applyFill="1" applyBorder="1" applyAlignment="1" applyProtection="1">
      <alignment horizontal="center"/>
    </xf>
    <xf numFmtId="0" fontId="0" fillId="10" borderId="57" xfId="0" applyFill="1" applyBorder="1" applyAlignment="1" applyProtection="1">
      <alignment horizontal="center"/>
    </xf>
    <xf numFmtId="0" fontId="0" fillId="10" borderId="60" xfId="0" applyFill="1" applyBorder="1" applyAlignment="1" applyProtection="1">
      <alignment horizontal="center"/>
    </xf>
    <xf numFmtId="0" fontId="0" fillId="10" borderId="63" xfId="0" applyFill="1" applyBorder="1" applyAlignment="1" applyProtection="1">
      <alignment horizontal="center"/>
    </xf>
    <xf numFmtId="1" fontId="0" fillId="3" borderId="62" xfId="0" applyNumberFormat="1" applyFill="1" applyBorder="1" applyAlignment="1" applyProtection="1">
      <alignment horizontal="center"/>
    </xf>
    <xf numFmtId="1" fontId="0" fillId="10" borderId="63" xfId="0" applyNumberFormat="1" applyFill="1" applyBorder="1" applyAlignment="1" applyProtection="1">
      <alignment horizontal="center"/>
    </xf>
    <xf numFmtId="165" fontId="0" fillId="3" borderId="80" xfId="0" applyNumberFormat="1" applyFill="1" applyBorder="1" applyAlignment="1" applyProtection="1">
      <alignment horizontal="center"/>
    </xf>
    <xf numFmtId="165" fontId="0" fillId="10" borderId="63" xfId="0" applyNumberFormat="1" applyFill="1" applyBorder="1" applyAlignment="1" applyProtection="1">
      <alignment horizontal="center"/>
    </xf>
    <xf numFmtId="165" fontId="0" fillId="10" borderId="61" xfId="0" applyNumberFormat="1" applyFill="1" applyBorder="1" applyAlignment="1" applyProtection="1">
      <alignment horizontal="center"/>
    </xf>
    <xf numFmtId="0" fontId="0" fillId="10" borderId="14" xfId="0" applyFill="1" applyBorder="1" applyAlignment="1" applyProtection="1">
      <alignment horizontal="center"/>
    </xf>
    <xf numFmtId="0" fontId="0" fillId="10" borderId="0" xfId="0" applyFill="1" applyBorder="1" applyAlignment="1" applyProtection="1">
      <alignment horizontal="center"/>
    </xf>
    <xf numFmtId="0" fontId="0" fillId="10" borderId="24" xfId="0" applyFill="1" applyBorder="1" applyAlignment="1" applyProtection="1">
      <alignment horizontal="center"/>
    </xf>
    <xf numFmtId="0" fontId="0" fillId="10" borderId="22" xfId="0" applyFill="1" applyBorder="1" applyAlignment="1" applyProtection="1">
      <alignment horizontal="center"/>
    </xf>
    <xf numFmtId="2" fontId="0" fillId="10" borderId="22" xfId="0" applyNumberFormat="1" applyFill="1" applyBorder="1" applyAlignment="1" applyProtection="1">
      <alignment horizontal="center"/>
    </xf>
    <xf numFmtId="2" fontId="0" fillId="10" borderId="45" xfId="0" applyNumberFormat="1" applyFill="1" applyBorder="1" applyAlignment="1" applyProtection="1">
      <alignment horizontal="center"/>
    </xf>
    <xf numFmtId="1" fontId="0" fillId="3" borderId="63" xfId="0" applyNumberFormat="1" applyFill="1" applyBorder="1" applyAlignment="1" applyProtection="1">
      <alignment horizontal="center"/>
    </xf>
    <xf numFmtId="165" fontId="0" fillId="3" borderId="63" xfId="0" applyNumberFormat="1" applyFill="1" applyBorder="1" applyAlignment="1" applyProtection="1">
      <alignment horizontal="center"/>
    </xf>
    <xf numFmtId="165" fontId="0" fillId="3" borderId="61" xfId="0" applyNumberFormat="1" applyFill="1" applyBorder="1" applyAlignment="1" applyProtection="1">
      <alignment horizontal="center"/>
    </xf>
    <xf numFmtId="0" fontId="0" fillId="10" borderId="15" xfId="0" applyFill="1" applyBorder="1" applyAlignment="1" applyProtection="1">
      <alignment horizontal="center"/>
    </xf>
    <xf numFmtId="0" fontId="0" fillId="0" borderId="46" xfId="0" applyBorder="1" applyProtection="1"/>
    <xf numFmtId="0" fontId="0" fillId="0" borderId="53" xfId="0" applyBorder="1" applyProtection="1"/>
    <xf numFmtId="0" fontId="8" fillId="0" borderId="13" xfId="0" applyFont="1" applyFill="1" applyBorder="1" applyAlignment="1" applyProtection="1">
      <alignment horizontal="center"/>
    </xf>
    <xf numFmtId="0" fontId="8" fillId="0" borderId="4" xfId="0" applyFont="1" applyFill="1" applyBorder="1" applyAlignment="1" applyProtection="1">
      <alignment horizontal="center"/>
    </xf>
    <xf numFmtId="0" fontId="8" fillId="3" borderId="78" xfId="0" applyFont="1" applyFill="1" applyBorder="1" applyAlignment="1" applyProtection="1">
      <alignment horizontal="center"/>
    </xf>
    <xf numFmtId="0" fontId="8" fillId="3" borderId="4" xfId="0" applyFont="1" applyFill="1" applyBorder="1" applyAlignment="1" applyProtection="1">
      <alignment horizontal="center"/>
    </xf>
    <xf numFmtId="0" fontId="8" fillId="3" borderId="5" xfId="0" applyFont="1" applyFill="1" applyBorder="1" applyAlignment="1" applyProtection="1">
      <alignment horizontal="center"/>
    </xf>
    <xf numFmtId="165" fontId="8" fillId="3" borderId="3" xfId="0" applyNumberFormat="1" applyFont="1" applyFill="1" applyBorder="1" applyAlignment="1" applyProtection="1">
      <alignment horizontal="center"/>
    </xf>
    <xf numFmtId="165" fontId="8" fillId="3" borderId="4" xfId="0" applyNumberFormat="1" applyFont="1" applyFill="1" applyBorder="1" applyAlignment="1" applyProtection="1">
      <alignment horizontal="center"/>
    </xf>
    <xf numFmtId="165" fontId="8" fillId="3" borderId="72" xfId="0" applyNumberFormat="1" applyFont="1" applyFill="1" applyBorder="1" applyAlignment="1" applyProtection="1">
      <alignment horizontal="center"/>
    </xf>
    <xf numFmtId="0" fontId="8" fillId="0" borderId="14" xfId="0" applyFont="1" applyFill="1" applyBorder="1" applyAlignment="1" applyProtection="1">
      <alignment horizontal="center"/>
    </xf>
    <xf numFmtId="0" fontId="8" fillId="3" borderId="26" xfId="0" applyFont="1" applyFill="1" applyBorder="1" applyAlignment="1" applyProtection="1">
      <alignment horizontal="center"/>
    </xf>
    <xf numFmtId="0" fontId="8" fillId="3" borderId="0" xfId="0" applyFont="1" applyFill="1" applyBorder="1" applyAlignment="1" applyProtection="1">
      <alignment horizontal="center"/>
    </xf>
    <xf numFmtId="0" fontId="8" fillId="3" borderId="7" xfId="0" applyFont="1" applyFill="1" applyBorder="1" applyAlignment="1" applyProtection="1">
      <alignment horizontal="center"/>
    </xf>
    <xf numFmtId="165" fontId="8" fillId="3" borderId="6" xfId="0" applyNumberFormat="1" applyFont="1" applyFill="1" applyBorder="1" applyAlignment="1" applyProtection="1">
      <alignment horizontal="center"/>
    </xf>
    <xf numFmtId="165" fontId="8" fillId="3" borderId="0" xfId="0" applyNumberFormat="1" applyFont="1" applyFill="1" applyBorder="1" applyAlignment="1" applyProtection="1">
      <alignment horizontal="center"/>
    </xf>
    <xf numFmtId="165" fontId="8" fillId="3" borderId="48" xfId="0" applyNumberFormat="1" applyFont="1" applyFill="1" applyBorder="1" applyAlignment="1" applyProtection="1">
      <alignment horizontal="center"/>
    </xf>
    <xf numFmtId="0" fontId="0" fillId="3" borderId="56" xfId="0" applyFill="1" applyBorder="1" applyAlignment="1" applyProtection="1">
      <alignment horizontal="center"/>
    </xf>
    <xf numFmtId="0" fontId="0" fillId="3" borderId="59" xfId="0" applyFill="1" applyBorder="1" applyAlignment="1" applyProtection="1">
      <alignment horizontal="center"/>
    </xf>
    <xf numFmtId="0" fontId="0" fillId="3" borderId="27" xfId="0" applyFill="1" applyBorder="1" applyAlignment="1" applyProtection="1">
      <alignment horizontal="center"/>
    </xf>
    <xf numFmtId="0" fontId="0" fillId="3" borderId="29" xfId="0" applyFill="1" applyBorder="1" applyAlignment="1" applyProtection="1">
      <alignment horizontal="center"/>
    </xf>
    <xf numFmtId="165" fontId="0" fillId="3" borderId="31" xfId="0" applyNumberFormat="1" applyFill="1" applyBorder="1" applyAlignment="1" applyProtection="1">
      <alignment horizontal="center"/>
    </xf>
    <xf numFmtId="165" fontId="0" fillId="3" borderId="71" xfId="0" applyNumberFormat="1" applyFill="1" applyBorder="1" applyAlignment="1" applyProtection="1">
      <alignment horizontal="center"/>
    </xf>
    <xf numFmtId="1" fontId="3" fillId="10" borderId="57" xfId="0" applyNumberFormat="1" applyFont="1" applyFill="1" applyBorder="1" applyAlignment="1" applyProtection="1">
      <alignment horizontal="center"/>
    </xf>
    <xf numFmtId="1" fontId="0" fillId="10" borderId="57" xfId="0" applyNumberFormat="1" applyFill="1" applyBorder="1" applyAlignment="1" applyProtection="1">
      <alignment horizontal="center"/>
    </xf>
    <xf numFmtId="165" fontId="0" fillId="10" borderId="57" xfId="0" applyNumberFormat="1" applyFill="1" applyBorder="1" applyAlignment="1" applyProtection="1">
      <alignment horizontal="center"/>
    </xf>
    <xf numFmtId="165" fontId="0" fillId="10" borderId="55" xfId="0" applyNumberFormat="1" applyFill="1" applyBorder="1" applyAlignment="1" applyProtection="1">
      <alignment horizontal="center"/>
    </xf>
    <xf numFmtId="0" fontId="0" fillId="0" borderId="24" xfId="0" applyFill="1" applyBorder="1" applyAlignment="1" applyProtection="1">
      <alignment horizontal="center"/>
    </xf>
    <xf numFmtId="1" fontId="0" fillId="10" borderId="22" xfId="0" applyNumberFormat="1" applyFill="1" applyBorder="1" applyAlignment="1" applyProtection="1">
      <alignment horizontal="center"/>
    </xf>
    <xf numFmtId="165" fontId="0" fillId="10" borderId="22" xfId="0" applyNumberFormat="1" applyFill="1" applyBorder="1" applyAlignment="1" applyProtection="1">
      <alignment horizontal="center"/>
    </xf>
    <xf numFmtId="165" fontId="0" fillId="10" borderId="45" xfId="0" applyNumberFormat="1" applyFill="1" applyBorder="1" applyAlignment="1" applyProtection="1">
      <alignment horizontal="center"/>
    </xf>
    <xf numFmtId="0" fontId="3" fillId="0" borderId="78" xfId="0" applyFont="1" applyFill="1" applyBorder="1" applyAlignment="1" applyProtection="1">
      <alignment horizontal="center"/>
    </xf>
    <xf numFmtId="165" fontId="3" fillId="0" borderId="3" xfId="0" applyNumberFormat="1" applyFont="1" applyFill="1" applyBorder="1" applyAlignment="1" applyProtection="1">
      <alignment horizontal="center"/>
    </xf>
    <xf numFmtId="0" fontId="3" fillId="0" borderId="26" xfId="0" applyFont="1" applyFill="1" applyBorder="1" applyAlignment="1" applyProtection="1">
      <alignment horizontal="center"/>
    </xf>
    <xf numFmtId="165" fontId="3" fillId="0" borderId="6" xfId="0" applyNumberFormat="1" applyFont="1" applyFill="1" applyBorder="1" applyAlignment="1" applyProtection="1">
      <alignment horizontal="center"/>
    </xf>
    <xf numFmtId="0" fontId="0" fillId="0" borderId="56" xfId="0" applyFill="1" applyBorder="1" applyAlignment="1" applyProtection="1">
      <alignment horizontal="center"/>
    </xf>
    <xf numFmtId="0" fontId="0" fillId="0" borderId="27" xfId="0" applyFill="1" applyBorder="1" applyAlignment="1" applyProtection="1">
      <alignment horizontal="center"/>
    </xf>
    <xf numFmtId="0" fontId="6" fillId="0" borderId="0" xfId="0" applyFont="1" applyProtection="1"/>
    <xf numFmtId="0" fontId="6" fillId="8" borderId="0" xfId="0" applyFont="1" applyFill="1" applyProtection="1"/>
    <xf numFmtId="0" fontId="6" fillId="8" borderId="0" xfId="0" applyFont="1" applyFill="1" applyAlignment="1" applyProtection="1">
      <alignment horizontal="right"/>
    </xf>
    <xf numFmtId="0" fontId="0" fillId="0" borderId="0" xfId="0" applyBorder="1" applyAlignment="1" applyProtection="1">
      <alignment horizontal="left" indent="1"/>
    </xf>
    <xf numFmtId="1" fontId="0" fillId="0" borderId="3" xfId="0" applyNumberFormat="1" applyFill="1" applyBorder="1" applyAlignment="1" applyProtection="1">
      <alignment horizontal="center"/>
    </xf>
    <xf numFmtId="1" fontId="0" fillId="0" borderId="8" xfId="0" applyNumberFormat="1" applyFill="1" applyBorder="1" applyAlignment="1" applyProtection="1">
      <alignment horizontal="center"/>
    </xf>
    <xf numFmtId="0" fontId="0" fillId="0" borderId="3" xfId="0" applyFill="1" applyBorder="1" applyAlignment="1" applyProtection="1">
      <alignment horizontal="center"/>
    </xf>
    <xf numFmtId="0" fontId="0" fillId="0" borderId="5" xfId="0" applyFill="1" applyBorder="1" applyAlignment="1" applyProtection="1">
      <alignment horizontal="center"/>
    </xf>
    <xf numFmtId="2" fontId="0" fillId="10" borderId="5" xfId="0" applyNumberFormat="1" applyFill="1" applyBorder="1" applyAlignment="1" applyProtection="1">
      <alignment horizontal="center"/>
    </xf>
    <xf numFmtId="165" fontId="0" fillId="0" borderId="12" xfId="0" applyNumberFormat="1" applyBorder="1" applyAlignment="1" applyProtection="1">
      <alignment horizontal="center"/>
    </xf>
    <xf numFmtId="0" fontId="0" fillId="0" borderId="0" xfId="0" quotePrefix="1" applyFill="1" applyAlignment="1" applyProtection="1">
      <alignment horizontal="right"/>
    </xf>
    <xf numFmtId="0" fontId="0" fillId="0" borderId="0" xfId="0" quotePrefix="1" applyFill="1" applyProtection="1"/>
    <xf numFmtId="3" fontId="0" fillId="0" borderId="12" xfId="0" applyNumberFormat="1" applyFill="1" applyBorder="1" applyAlignment="1" applyProtection="1">
      <alignment horizontal="center"/>
    </xf>
    <xf numFmtId="9" fontId="0" fillId="0" borderId="6" xfId="0" applyNumberFormat="1" applyFill="1" applyBorder="1" applyAlignment="1" applyProtection="1">
      <alignment horizontal="center"/>
    </xf>
    <xf numFmtId="9" fontId="0" fillId="0" borderId="7" xfId="0" applyNumberFormat="1" applyFill="1" applyBorder="1" applyAlignment="1" applyProtection="1">
      <alignment horizontal="center"/>
    </xf>
    <xf numFmtId="9" fontId="0" fillId="0" borderId="8" xfId="0" applyNumberFormat="1" applyFill="1" applyBorder="1" applyAlignment="1" applyProtection="1">
      <alignment horizontal="center"/>
    </xf>
    <xf numFmtId="9" fontId="0" fillId="0" borderId="10" xfId="0" applyNumberFormat="1" applyFill="1" applyBorder="1" applyAlignment="1" applyProtection="1">
      <alignment horizontal="center"/>
    </xf>
    <xf numFmtId="9" fontId="0" fillId="0" borderId="0" xfId="0" applyNumberFormat="1" applyFill="1" applyBorder="1" applyAlignment="1" applyProtection="1">
      <alignment horizontal="left"/>
    </xf>
    <xf numFmtId="0" fontId="13" fillId="0" borderId="0" xfId="0" applyFont="1" applyFill="1" applyProtection="1"/>
    <xf numFmtId="165" fontId="0" fillId="4" borderId="3" xfId="0" applyNumberFormat="1" applyFill="1" applyBorder="1" applyAlignment="1" applyProtection="1">
      <alignment horizontal="center"/>
    </xf>
    <xf numFmtId="165" fontId="0" fillId="4" borderId="4" xfId="0" applyNumberFormat="1" applyFill="1" applyBorder="1" applyAlignment="1" applyProtection="1">
      <alignment horizontal="center"/>
    </xf>
    <xf numFmtId="165" fontId="0" fillId="4" borderId="5" xfId="0" applyNumberFormat="1" applyFill="1" applyBorder="1" applyAlignment="1" applyProtection="1">
      <alignment horizontal="center"/>
    </xf>
    <xf numFmtId="165" fontId="0" fillId="4" borderId="6" xfId="0" applyNumberFormat="1" applyFill="1" applyBorder="1" applyAlignment="1" applyProtection="1">
      <alignment horizontal="center"/>
    </xf>
    <xf numFmtId="165" fontId="0" fillId="4" borderId="7" xfId="0" applyNumberFormat="1" applyFill="1" applyBorder="1" applyAlignment="1" applyProtection="1">
      <alignment horizontal="center"/>
    </xf>
    <xf numFmtId="165" fontId="0" fillId="4" borderId="8" xfId="0" applyNumberFormat="1" applyFill="1" applyBorder="1" applyAlignment="1" applyProtection="1">
      <alignment horizontal="center"/>
    </xf>
    <xf numFmtId="165" fontId="0" fillId="4" borderId="9" xfId="0" applyNumberFormat="1" applyFill="1" applyBorder="1" applyAlignment="1" applyProtection="1">
      <alignment horizontal="center"/>
    </xf>
    <xf numFmtId="165" fontId="0" fillId="4" borderId="10" xfId="0" applyNumberFormat="1" applyFill="1" applyBorder="1" applyAlignment="1" applyProtection="1">
      <alignment horizontal="center"/>
    </xf>
    <xf numFmtId="9" fontId="11" fillId="0" borderId="2" xfId="0" applyNumberFormat="1" applyFont="1" applyFill="1" applyBorder="1" applyAlignment="1" applyProtection="1">
      <alignment horizontal="center"/>
    </xf>
    <xf numFmtId="9" fontId="11" fillId="0" borderId="12" xfId="0" applyNumberFormat="1" applyFont="1" applyFill="1" applyBorder="1" applyAlignment="1" applyProtection="1">
      <alignment horizontal="center"/>
    </xf>
    <xf numFmtId="1" fontId="11" fillId="0" borderId="2" xfId="0" applyNumberFormat="1" applyFont="1" applyFill="1" applyBorder="1" applyAlignment="1" applyProtection="1">
      <alignment horizontal="center"/>
    </xf>
    <xf numFmtId="165" fontId="11" fillId="0" borderId="12" xfId="0" applyNumberFormat="1" applyFont="1" applyFill="1" applyBorder="1" applyAlignment="1" applyProtection="1">
      <alignment horizontal="center"/>
    </xf>
    <xf numFmtId="165" fontId="11" fillId="0" borderId="2" xfId="0" applyNumberFormat="1" applyFont="1" applyFill="1" applyBorder="1" applyAlignment="1" applyProtection="1">
      <alignment horizontal="center"/>
    </xf>
    <xf numFmtId="1" fontId="11" fillId="0" borderId="8" xfId="0" applyNumberFormat="1" applyFont="1" applyFill="1" applyBorder="1" applyAlignment="1" applyProtection="1">
      <alignment horizontal="center"/>
    </xf>
    <xf numFmtId="1" fontId="11" fillId="0" borderId="9" xfId="0" applyNumberFormat="1" applyFont="1" applyFill="1" applyBorder="1" applyAlignment="1" applyProtection="1">
      <alignment horizontal="center"/>
    </xf>
    <xf numFmtId="1" fontId="11" fillId="0" borderId="10" xfId="0" applyNumberFormat="1" applyFont="1" applyFill="1" applyBorder="1" applyAlignment="1" applyProtection="1">
      <alignment horizontal="center"/>
    </xf>
    <xf numFmtId="165" fontId="11" fillId="0" borderId="8" xfId="0" applyNumberFormat="1" applyFont="1" applyFill="1" applyBorder="1" applyAlignment="1" applyProtection="1">
      <alignment horizontal="center"/>
    </xf>
    <xf numFmtId="165" fontId="11" fillId="0" borderId="9" xfId="0" applyNumberFormat="1" applyFont="1" applyFill="1" applyBorder="1" applyAlignment="1" applyProtection="1">
      <alignment horizontal="center"/>
    </xf>
    <xf numFmtId="165" fontId="11" fillId="0" borderId="10" xfId="0" applyNumberFormat="1" applyFont="1" applyFill="1" applyBorder="1" applyAlignment="1" applyProtection="1">
      <alignment horizontal="center"/>
    </xf>
    <xf numFmtId="1" fontId="0" fillId="0" borderId="12" xfId="0" applyNumberFormat="1" applyFill="1" applyBorder="1" applyAlignment="1" applyProtection="1">
      <alignment horizontal="center"/>
    </xf>
    <xf numFmtId="165" fontId="6" fillId="0" borderId="10" xfId="0" applyNumberFormat="1" applyFont="1" applyFill="1" applyBorder="1" applyAlignment="1" applyProtection="1">
      <alignment horizontal="center"/>
    </xf>
    <xf numFmtId="0" fontId="17" fillId="2" borderId="0" xfId="0" applyFont="1" applyFill="1" applyAlignment="1">
      <alignment vertical="center"/>
    </xf>
    <xf numFmtId="0" fontId="17" fillId="0" borderId="0" xfId="0" applyFont="1" applyAlignment="1">
      <alignment horizontal="right" vertical="center"/>
    </xf>
    <xf numFmtId="0" fontId="17" fillId="2" borderId="0" xfId="0" applyFont="1" applyFill="1" applyAlignment="1">
      <alignment horizontal="right" vertical="center"/>
    </xf>
    <xf numFmtId="0" fontId="17"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right" vertical="center"/>
    </xf>
    <xf numFmtId="0" fontId="0" fillId="0" borderId="0" xfId="0" applyFill="1" applyAlignment="1">
      <alignment vertical="center"/>
    </xf>
    <xf numFmtId="0" fontId="0" fillId="0" borderId="91" xfId="0" applyBorder="1" applyAlignment="1" applyProtection="1">
      <alignment horizontal="center"/>
    </xf>
    <xf numFmtId="0" fontId="0" fillId="0" borderId="77" xfId="0" applyBorder="1" applyAlignment="1" applyProtection="1">
      <alignment horizontal="center"/>
    </xf>
    <xf numFmtId="0" fontId="0" fillId="0" borderId="0" xfId="0" applyAlignment="1">
      <alignment horizontal="right"/>
    </xf>
    <xf numFmtId="0" fontId="17" fillId="0" borderId="0" xfId="0" applyFont="1" applyFill="1" applyBorder="1" applyAlignment="1">
      <alignment horizontal="right" vertical="center"/>
    </xf>
    <xf numFmtId="0" fontId="0" fillId="0" borderId="0" xfId="0" applyAlignment="1">
      <alignment horizontal="right" vertical="center"/>
    </xf>
    <xf numFmtId="0" fontId="0" fillId="4" borderId="70" xfId="0" applyFill="1" applyBorder="1" applyAlignment="1" applyProtection="1">
      <alignment horizontal="center"/>
    </xf>
    <xf numFmtId="0" fontId="0" fillId="4" borderId="28" xfId="0" applyFill="1" applyBorder="1" applyAlignment="1" applyProtection="1">
      <alignment horizontal="center"/>
    </xf>
    <xf numFmtId="165" fontId="0" fillId="4" borderId="28" xfId="0" applyNumberFormat="1" applyFill="1" applyBorder="1" applyAlignment="1" applyProtection="1">
      <alignment horizontal="center"/>
    </xf>
    <xf numFmtId="0" fontId="0" fillId="4" borderId="71" xfId="0" applyFill="1" applyBorder="1" applyAlignment="1" applyProtection="1">
      <alignment horizontal="center"/>
    </xf>
    <xf numFmtId="0" fontId="0" fillId="4" borderId="22" xfId="0" quotePrefix="1" applyFill="1" applyBorder="1" applyAlignment="1" applyProtection="1">
      <alignment horizontal="center"/>
    </xf>
    <xf numFmtId="0" fontId="0" fillId="4" borderId="25" xfId="0" applyFill="1" applyBorder="1" applyAlignment="1" applyProtection="1">
      <alignment horizontal="center"/>
    </xf>
    <xf numFmtId="0" fontId="0" fillId="4" borderId="23" xfId="0" applyFill="1" applyBorder="1" applyAlignment="1" applyProtection="1">
      <alignment horizontal="center"/>
    </xf>
    <xf numFmtId="165" fontId="0" fillId="4" borderId="22" xfId="0" applyNumberFormat="1" applyFill="1" applyBorder="1" applyAlignment="1" applyProtection="1">
      <alignment horizontal="center"/>
    </xf>
    <xf numFmtId="165" fontId="0" fillId="4" borderId="45" xfId="0" applyNumberFormat="1" applyFill="1" applyBorder="1" applyAlignment="1" applyProtection="1">
      <alignment horizontal="center"/>
    </xf>
    <xf numFmtId="0" fontId="0" fillId="4" borderId="91" xfId="0" applyFill="1" applyBorder="1" applyAlignment="1" applyProtection="1">
      <alignment horizontal="center"/>
    </xf>
    <xf numFmtId="0" fontId="16" fillId="2" borderId="0" xfId="0" applyFont="1" applyFill="1" applyAlignment="1">
      <alignment horizontal="center" vertical="center"/>
    </xf>
    <xf numFmtId="0" fontId="17" fillId="0" borderId="0" xfId="0" applyFont="1" applyFill="1" applyAlignment="1">
      <alignment horizontal="right" vertical="center"/>
    </xf>
    <xf numFmtId="0" fontId="0" fillId="0" borderId="38" xfId="0" applyBorder="1" applyAlignment="1" applyProtection="1">
      <alignment horizontal="center"/>
    </xf>
    <xf numFmtId="165" fontId="0" fillId="4" borderId="69" xfId="0" applyNumberFormat="1" applyFill="1" applyBorder="1" applyAlignment="1" applyProtection="1">
      <alignment horizontal="center"/>
    </xf>
    <xf numFmtId="0" fontId="16" fillId="0" borderId="0" xfId="0" applyFont="1" applyFill="1" applyAlignment="1">
      <alignment horizontal="center" vertical="center"/>
    </xf>
    <xf numFmtId="165" fontId="0" fillId="6" borderId="1" xfId="0" applyNumberFormat="1" applyFill="1" applyBorder="1" applyAlignment="1">
      <alignment vertical="center"/>
    </xf>
    <xf numFmtId="0" fontId="16" fillId="2" borderId="0" xfId="0" applyFont="1" applyFill="1" applyAlignment="1">
      <alignment horizontal="right" vertical="center"/>
    </xf>
    <xf numFmtId="0" fontId="5" fillId="0" borderId="0" xfId="0" applyFont="1" applyProtection="1"/>
    <xf numFmtId="4" fontId="0" fillId="0" borderId="0" xfId="0" applyNumberFormat="1" applyBorder="1" applyAlignment="1" applyProtection="1">
      <alignment horizontal="center"/>
    </xf>
    <xf numFmtId="0" fontId="13" fillId="0" borderId="0" xfId="0" applyFont="1" applyFill="1" applyBorder="1" applyProtection="1"/>
    <xf numFmtId="0" fontId="12" fillId="2" borderId="0" xfId="0" applyFont="1" applyFill="1" applyAlignment="1">
      <alignment vertical="center"/>
    </xf>
    <xf numFmtId="169" fontId="0" fillId="0" borderId="0" xfId="0" applyNumberFormat="1" applyBorder="1" applyAlignment="1" applyProtection="1">
      <alignment horizontal="center"/>
    </xf>
    <xf numFmtId="169" fontId="0" fillId="0" borderId="5" xfId="0" applyNumberFormat="1" applyBorder="1" applyAlignment="1" applyProtection="1">
      <alignment horizontal="center"/>
    </xf>
    <xf numFmtId="169" fontId="0" fillId="0" borderId="7" xfId="0" applyNumberFormat="1" applyBorder="1" applyAlignment="1" applyProtection="1">
      <alignment horizontal="center"/>
    </xf>
    <xf numFmtId="0" fontId="0" fillId="0" borderId="4" xfId="0" applyBorder="1"/>
    <xf numFmtId="0" fontId="0" fillId="0" borderId="6" xfId="0" applyBorder="1"/>
    <xf numFmtId="0" fontId="0" fillId="0" borderId="0" xfId="0" applyBorder="1"/>
    <xf numFmtId="0" fontId="0" fillId="0" borderId="7" xfId="0" applyBorder="1"/>
    <xf numFmtId="0" fontId="0" fillId="0" borderId="9" xfId="0" applyBorder="1"/>
    <xf numFmtId="2" fontId="0" fillId="4" borderId="9" xfId="0" applyNumberFormat="1" applyFill="1" applyBorder="1" applyAlignment="1">
      <alignment vertical="center"/>
    </xf>
    <xf numFmtId="2" fontId="0" fillId="0" borderId="0" xfId="0" applyNumberFormat="1" applyFill="1" applyBorder="1" applyAlignment="1">
      <alignment vertical="center"/>
    </xf>
    <xf numFmtId="0" fontId="0" fillId="0" borderId="0" xfId="0" applyBorder="1" applyAlignment="1">
      <alignment vertical="center"/>
    </xf>
    <xf numFmtId="0" fontId="0" fillId="0" borderId="0" xfId="0" applyFill="1" applyBorder="1" applyAlignment="1">
      <alignment vertical="center"/>
    </xf>
    <xf numFmtId="0" fontId="0" fillId="0" borderId="7" xfId="0" applyFill="1" applyBorder="1" applyAlignment="1">
      <alignment vertical="center"/>
    </xf>
    <xf numFmtId="0" fontId="0" fillId="0" borderId="0" xfId="0" applyFill="1" applyBorder="1"/>
    <xf numFmtId="0" fontId="0" fillId="2" borderId="0" xfId="0" applyFill="1" applyBorder="1" applyAlignment="1">
      <alignment horizontal="center" vertical="center"/>
    </xf>
    <xf numFmtId="0" fontId="0" fillId="2" borderId="9" xfId="0" applyFill="1" applyBorder="1" applyAlignment="1">
      <alignment horizontal="center" vertical="center"/>
    </xf>
    <xf numFmtId="0" fontId="0" fillId="0" borderId="5" xfId="0" applyBorder="1" applyAlignment="1">
      <alignment horizontal="center"/>
    </xf>
    <xf numFmtId="165" fontId="0" fillId="5" borderId="1" xfId="0" applyNumberFormat="1" applyFill="1" applyBorder="1" applyAlignment="1" applyProtection="1">
      <alignment horizontal="center" vertical="center"/>
      <protection locked="0"/>
    </xf>
    <xf numFmtId="0" fontId="0" fillId="4" borderId="0" xfId="0" applyFill="1" applyAlignment="1">
      <alignment horizontal="center"/>
    </xf>
    <xf numFmtId="0" fontId="0" fillId="2" borderId="9" xfId="0" applyFill="1" applyBorder="1" applyAlignment="1">
      <alignment horizontal="left" vertical="center"/>
    </xf>
    <xf numFmtId="0" fontId="0" fillId="2" borderId="9" xfId="0" applyFill="1" applyBorder="1" applyAlignment="1">
      <alignment vertical="center"/>
    </xf>
    <xf numFmtId="0" fontId="0" fillId="0" borderId="0" xfId="0" applyBorder="1" applyAlignment="1">
      <alignment horizontal="center"/>
    </xf>
    <xf numFmtId="0" fontId="0" fillId="2" borderId="0" xfId="0" applyFill="1" applyBorder="1"/>
    <xf numFmtId="0" fontId="5" fillId="4" borderId="0" xfId="0" applyFont="1" applyFill="1" applyBorder="1"/>
    <xf numFmtId="165" fontId="0" fillId="4" borderId="0" xfId="0" applyNumberFormat="1" applyFill="1" applyAlignment="1">
      <alignment horizontal="center"/>
    </xf>
    <xf numFmtId="0" fontId="5" fillId="2" borderId="0" xfId="0" applyFont="1" applyFill="1" applyBorder="1" applyAlignment="1">
      <alignment vertical="center"/>
    </xf>
    <xf numFmtId="0" fontId="6" fillId="2" borderId="0" xfId="0" applyFont="1" applyFill="1" applyBorder="1" applyAlignment="1">
      <alignment horizontal="center" vertical="center"/>
    </xf>
    <xf numFmtId="0" fontId="0" fillId="12" borderId="0" xfId="0" applyFill="1"/>
    <xf numFmtId="0" fontId="6" fillId="2" borderId="0" xfId="0" applyFont="1" applyFill="1" applyBorder="1"/>
    <xf numFmtId="0" fontId="6" fillId="2" borderId="0" xfId="0" applyFont="1" applyFill="1" applyBorder="1" applyAlignment="1">
      <alignment horizontal="right"/>
    </xf>
    <xf numFmtId="0" fontId="0" fillId="0" borderId="0" xfId="0" applyFill="1"/>
    <xf numFmtId="165" fontId="0" fillId="0" borderId="0" xfId="0" applyNumberFormat="1" applyFill="1" applyAlignment="1" applyProtection="1">
      <alignment horizontal="center"/>
    </xf>
    <xf numFmtId="165" fontId="11" fillId="0" borderId="11" xfId="0" applyNumberFormat="1" applyFont="1" applyFill="1" applyBorder="1" applyAlignment="1" applyProtection="1">
      <alignment horizontal="center"/>
    </xf>
    <xf numFmtId="0" fontId="0" fillId="3" borderId="3" xfId="0" applyFill="1" applyBorder="1" applyProtection="1"/>
    <xf numFmtId="0" fontId="0" fillId="3" borderId="6" xfId="0" applyFill="1" applyBorder="1" applyProtection="1"/>
    <xf numFmtId="0" fontId="0" fillId="3" borderId="58" xfId="0" applyFill="1" applyBorder="1" applyProtection="1"/>
    <xf numFmtId="0" fontId="0" fillId="3" borderId="31" xfId="0" applyFill="1" applyBorder="1" applyProtection="1"/>
    <xf numFmtId="0" fontId="0" fillId="8" borderId="6" xfId="0" applyFill="1" applyBorder="1" applyAlignment="1" applyProtection="1">
      <alignment horizontal="center"/>
    </xf>
    <xf numFmtId="1" fontId="6" fillId="0" borderId="9" xfId="0" applyNumberFormat="1" applyFont="1" applyBorder="1" applyAlignment="1" applyProtection="1">
      <alignment horizontal="center"/>
    </xf>
    <xf numFmtId="165" fontId="11" fillId="0" borderId="41" xfId="0" applyNumberFormat="1" applyFont="1" applyFill="1" applyBorder="1" applyAlignment="1" applyProtection="1">
      <alignment horizontal="center"/>
    </xf>
    <xf numFmtId="0" fontId="0" fillId="8" borderId="0" xfId="0" applyFill="1" applyBorder="1" applyAlignment="1" applyProtection="1">
      <alignment horizontal="center"/>
    </xf>
    <xf numFmtId="165" fontId="0" fillId="10" borderId="5" xfId="0" applyNumberFormat="1" applyFill="1" applyBorder="1" applyAlignment="1" applyProtection="1">
      <alignment horizontal="center"/>
    </xf>
    <xf numFmtId="165" fontId="0" fillId="10" borderId="92" xfId="0" applyNumberFormat="1" applyFill="1" applyBorder="1" applyAlignment="1" applyProtection="1">
      <alignment horizontal="center"/>
    </xf>
    <xf numFmtId="165" fontId="6" fillId="0" borderId="6" xfId="0" applyNumberFormat="1" applyFont="1" applyFill="1" applyBorder="1" applyAlignment="1" applyProtection="1">
      <alignment horizontal="center"/>
    </xf>
    <xf numFmtId="165" fontId="11" fillId="0" borderId="40" xfId="0" applyNumberFormat="1" applyFont="1" applyFill="1" applyBorder="1" applyAlignment="1" applyProtection="1">
      <alignment horizontal="center"/>
    </xf>
    <xf numFmtId="1" fontId="0" fillId="3" borderId="79" xfId="0" applyNumberFormat="1" applyFill="1" applyBorder="1" applyAlignment="1" applyProtection="1">
      <alignment horizontal="center"/>
    </xf>
    <xf numFmtId="1" fontId="0" fillId="3" borderId="5" xfId="0" applyNumberFormat="1" applyFill="1" applyBorder="1" applyAlignment="1" applyProtection="1">
      <alignment horizontal="center"/>
    </xf>
    <xf numFmtId="1" fontId="0" fillId="3" borderId="7" xfId="0" applyNumberFormat="1" applyFill="1" applyBorder="1" applyAlignment="1" applyProtection="1">
      <alignment horizontal="center"/>
    </xf>
    <xf numFmtId="2" fontId="0" fillId="10" borderId="59" xfId="0" applyNumberFormat="1" applyFill="1" applyBorder="1" applyAlignment="1" applyProtection="1">
      <alignment horizontal="center"/>
    </xf>
    <xf numFmtId="165" fontId="0" fillId="10" borderId="29" xfId="0" applyNumberFormat="1" applyFill="1" applyBorder="1" applyAlignment="1" applyProtection="1">
      <alignment horizontal="center"/>
    </xf>
    <xf numFmtId="0" fontId="0" fillId="10" borderId="5" xfId="0" applyFill="1" applyBorder="1" applyProtection="1"/>
    <xf numFmtId="165" fontId="0" fillId="10" borderId="10" xfId="0" applyNumberFormat="1" applyFill="1" applyBorder="1" applyAlignment="1" applyProtection="1">
      <alignment horizontal="center"/>
    </xf>
    <xf numFmtId="0" fontId="0" fillId="8" borderId="23" xfId="0" applyFill="1" applyBorder="1" applyAlignment="1" applyProtection="1">
      <alignment horizontal="center"/>
    </xf>
    <xf numFmtId="0" fontId="0" fillId="8" borderId="25" xfId="0" applyFill="1" applyBorder="1" applyAlignment="1" applyProtection="1">
      <alignment horizontal="center"/>
    </xf>
    <xf numFmtId="2" fontId="0" fillId="11" borderId="5" xfId="0" applyNumberFormat="1" applyFill="1" applyBorder="1" applyAlignment="1" applyProtection="1">
      <alignment horizontal="center"/>
    </xf>
    <xf numFmtId="2" fontId="0" fillId="11" borderId="59" xfId="0" applyNumberFormat="1" applyFill="1" applyBorder="1" applyAlignment="1" applyProtection="1">
      <alignment horizontal="center"/>
    </xf>
    <xf numFmtId="2" fontId="0" fillId="11" borderId="3" xfId="0" applyNumberFormat="1" applyFill="1" applyBorder="1" applyAlignment="1" applyProtection="1">
      <alignment horizontal="center"/>
    </xf>
    <xf numFmtId="2" fontId="0" fillId="11" borderId="58" xfId="0" applyNumberFormat="1" applyFill="1" applyBorder="1" applyAlignment="1" applyProtection="1">
      <alignment horizontal="center"/>
    </xf>
    <xf numFmtId="165" fontId="0" fillId="0" borderId="93" xfId="0" applyNumberFormat="1" applyBorder="1" applyAlignment="1" applyProtection="1">
      <alignment horizontal="center"/>
    </xf>
    <xf numFmtId="0" fontId="0" fillId="4" borderId="7" xfId="0" applyFill="1" applyBorder="1" applyAlignment="1" applyProtection="1">
      <alignment horizontal="center"/>
    </xf>
    <xf numFmtId="165" fontId="0" fillId="0" borderId="2" xfId="0" applyNumberFormat="1" applyBorder="1" applyAlignment="1" applyProtection="1">
      <alignment horizontal="center"/>
    </xf>
    <xf numFmtId="165" fontId="0" fillId="0" borderId="80" xfId="0" applyNumberFormat="1" applyBorder="1" applyAlignment="1" applyProtection="1">
      <alignment horizontal="center"/>
    </xf>
    <xf numFmtId="165" fontId="0" fillId="0" borderId="65" xfId="0" applyNumberFormat="1" applyBorder="1" applyAlignment="1" applyProtection="1">
      <alignment horizontal="center"/>
    </xf>
    <xf numFmtId="165" fontId="0" fillId="4" borderId="40" xfId="0" applyNumberFormat="1" applyFill="1" applyBorder="1" applyAlignment="1" applyProtection="1">
      <alignment horizontal="center"/>
    </xf>
    <xf numFmtId="0" fontId="0" fillId="4" borderId="29" xfId="0" applyFill="1" applyBorder="1" applyAlignment="1" applyProtection="1">
      <alignment horizontal="center"/>
    </xf>
    <xf numFmtId="0" fontId="0" fillId="4" borderId="76" xfId="0" applyFill="1" applyBorder="1" applyAlignment="1" applyProtection="1">
      <alignment horizontal="center"/>
    </xf>
    <xf numFmtId="0" fontId="0" fillId="4" borderId="31" xfId="0" applyFill="1" applyBorder="1" applyAlignment="1" applyProtection="1">
      <alignment horizontal="center"/>
    </xf>
    <xf numFmtId="165" fontId="0" fillId="4" borderId="23" xfId="0" applyNumberFormat="1" applyFill="1" applyBorder="1" applyAlignment="1" applyProtection="1">
      <alignment horizontal="center"/>
    </xf>
    <xf numFmtId="165" fontId="0" fillId="4" borderId="41" xfId="0" applyNumberFormat="1" applyFill="1" applyBorder="1" applyAlignment="1" applyProtection="1">
      <alignment horizontal="center"/>
    </xf>
    <xf numFmtId="165" fontId="0" fillId="4" borderId="25" xfId="0" applyNumberFormat="1" applyFill="1" applyBorder="1" applyAlignment="1" applyProtection="1">
      <alignment horizontal="center"/>
    </xf>
    <xf numFmtId="0" fontId="0" fillId="0" borderId="28" xfId="0" applyBorder="1"/>
    <xf numFmtId="0" fontId="0" fillId="4" borderId="2" xfId="0" applyFill="1" applyBorder="1" applyAlignment="1" applyProtection="1">
      <alignment horizontal="center"/>
    </xf>
    <xf numFmtId="1" fontId="0" fillId="0" borderId="46" xfId="0" applyNumberFormat="1" applyFill="1" applyBorder="1" applyAlignment="1" applyProtection="1">
      <alignment horizontal="center"/>
    </xf>
    <xf numFmtId="0" fontId="0" fillId="0" borderId="34" xfId="0" applyBorder="1" applyAlignment="1" applyProtection="1">
      <alignment horizontal="center"/>
    </xf>
    <xf numFmtId="4" fontId="0" fillId="0" borderId="48" xfId="0" applyNumberFormat="1" applyBorder="1" applyAlignment="1" applyProtection="1">
      <alignment horizontal="center"/>
    </xf>
    <xf numFmtId="0" fontId="0" fillId="0" borderId="94" xfId="0" applyBorder="1" applyProtection="1"/>
    <xf numFmtId="0" fontId="0" fillId="0" borderId="95" xfId="0" applyBorder="1" applyProtection="1"/>
    <xf numFmtId="0" fontId="0" fillId="0" borderId="96" xfId="0" applyFill="1" applyBorder="1" applyAlignment="1" applyProtection="1">
      <alignment horizontal="right"/>
    </xf>
    <xf numFmtId="169" fontId="0" fillId="0" borderId="72" xfId="0" applyNumberFormat="1" applyBorder="1" applyAlignment="1" applyProtection="1">
      <alignment horizontal="center"/>
    </xf>
    <xf numFmtId="169" fontId="0" fillId="0" borderId="48" xfId="0" applyNumberFormat="1" applyBorder="1" applyAlignment="1" applyProtection="1">
      <alignment horizontal="center"/>
    </xf>
    <xf numFmtId="0" fontId="0" fillId="0" borderId="97" xfId="0" applyBorder="1" applyProtection="1"/>
    <xf numFmtId="4" fontId="0" fillId="0" borderId="28" xfId="0" applyNumberFormat="1" applyBorder="1" applyAlignment="1" applyProtection="1">
      <alignment horizontal="center"/>
    </xf>
    <xf numFmtId="4" fontId="0" fillId="0" borderId="71" xfId="0" applyNumberFormat="1" applyBorder="1" applyAlignment="1" applyProtection="1">
      <alignment horizontal="center"/>
    </xf>
    <xf numFmtId="0" fontId="0" fillId="0" borderId="31" xfId="0" applyFill="1" applyBorder="1" applyAlignment="1" applyProtection="1">
      <alignment horizontal="center"/>
    </xf>
    <xf numFmtId="0" fontId="0" fillId="0" borderId="29" xfId="0" applyFill="1" applyBorder="1" applyAlignment="1" applyProtection="1">
      <alignment horizontal="center"/>
    </xf>
    <xf numFmtId="0" fontId="0" fillId="0" borderId="71" xfId="0" applyFill="1" applyBorder="1" applyAlignment="1" applyProtection="1">
      <alignment horizontal="center"/>
    </xf>
    <xf numFmtId="169" fontId="0" fillId="0" borderId="28" xfId="0" applyNumberFormat="1" applyBorder="1" applyAlignment="1" applyProtection="1">
      <alignment horizontal="center"/>
    </xf>
    <xf numFmtId="169" fontId="0" fillId="0" borderId="29" xfId="0" applyNumberFormat="1" applyBorder="1" applyAlignment="1" applyProtection="1">
      <alignment horizontal="center"/>
    </xf>
    <xf numFmtId="169" fontId="0" fillId="0" borderId="71" xfId="0" applyNumberFormat="1" applyBorder="1" applyAlignment="1" applyProtection="1">
      <alignment horizontal="center"/>
    </xf>
    <xf numFmtId="0" fontId="0" fillId="2" borderId="28" xfId="0" applyFill="1" applyBorder="1" applyAlignment="1">
      <alignment horizontal="left" vertical="center"/>
    </xf>
    <xf numFmtId="0" fontId="0" fillId="2" borderId="28" xfId="0" applyFill="1" applyBorder="1" applyAlignment="1">
      <alignment vertical="center"/>
    </xf>
    <xf numFmtId="0" fontId="0" fillId="2" borderId="26" xfId="0" applyFill="1" applyBorder="1" applyAlignment="1">
      <alignment horizontal="left" vertical="center"/>
    </xf>
    <xf numFmtId="0" fontId="0" fillId="2" borderId="50" xfId="0" applyFill="1" applyBorder="1" applyAlignment="1">
      <alignment horizontal="left" vertical="center"/>
    </xf>
    <xf numFmtId="0" fontId="0" fillId="2" borderId="0" xfId="0" applyFill="1" applyBorder="1" applyAlignment="1">
      <alignment horizontal="center"/>
    </xf>
    <xf numFmtId="0" fontId="0" fillId="2" borderId="26" xfId="0" applyFill="1" applyBorder="1"/>
    <xf numFmtId="0" fontId="0" fillId="2" borderId="22" xfId="0" applyFill="1" applyBorder="1" applyAlignment="1">
      <alignment horizontal="center" vertical="center"/>
    </xf>
    <xf numFmtId="0" fontId="5" fillId="2" borderId="22" xfId="0" applyFont="1" applyFill="1" applyBorder="1" applyAlignment="1">
      <alignment vertical="center"/>
    </xf>
    <xf numFmtId="0" fontId="0" fillId="2" borderId="28" xfId="0" applyFill="1" applyBorder="1" applyAlignment="1">
      <alignment horizontal="center" vertical="center"/>
    </xf>
    <xf numFmtId="0" fontId="6" fillId="2" borderId="26" xfId="0" applyFont="1" applyFill="1" applyBorder="1"/>
    <xf numFmtId="0" fontId="0" fillId="2" borderId="0" xfId="0" applyFill="1" applyBorder="1" applyAlignment="1">
      <alignment horizontal="right"/>
    </xf>
    <xf numFmtId="0" fontId="5" fillId="2" borderId="0" xfId="0" applyFont="1" applyFill="1" applyBorder="1" applyAlignment="1">
      <alignment horizontal="center"/>
    </xf>
    <xf numFmtId="0" fontId="0" fillId="0" borderId="4" xfId="0" applyBorder="1" applyAlignment="1">
      <alignment horizontal="center"/>
    </xf>
    <xf numFmtId="0" fontId="0" fillId="2" borderId="0" xfId="0" quotePrefix="1" applyFill="1" applyAlignment="1">
      <alignment horizontal="right" vertical="center"/>
    </xf>
    <xf numFmtId="0" fontId="0" fillId="12" borderId="0" xfId="0" applyFill="1" applyAlignment="1">
      <alignment horizontal="center"/>
    </xf>
    <xf numFmtId="0" fontId="5" fillId="2" borderId="27" xfId="0" applyFont="1" applyFill="1" applyBorder="1"/>
    <xf numFmtId="0" fontId="5" fillId="2" borderId="26" xfId="0" applyFont="1" applyFill="1" applyBorder="1"/>
    <xf numFmtId="0" fontId="0" fillId="2" borderId="0" xfId="0" applyFill="1" applyBorder="1" applyAlignment="1">
      <alignment horizontal="left"/>
    </xf>
    <xf numFmtId="0" fontId="0" fillId="2" borderId="0" xfId="0" quotePrefix="1" applyFill="1" applyBorder="1" applyAlignment="1">
      <alignment horizontal="center" vertical="center"/>
    </xf>
    <xf numFmtId="0" fontId="0" fillId="2" borderId="0" xfId="0" quotePrefix="1" applyFill="1" applyBorder="1" applyAlignment="1">
      <alignment horizontal="left" vertical="center"/>
    </xf>
    <xf numFmtId="2" fontId="0" fillId="0" borderId="0" xfId="0" applyNumberFormat="1" applyAlignment="1">
      <alignment horizontal="center"/>
    </xf>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0" fillId="4" borderId="0" xfId="0" applyFill="1" applyAlignment="1">
      <alignment horizontal="right"/>
    </xf>
    <xf numFmtId="165" fontId="0" fillId="4" borderId="0" xfId="0" applyNumberFormat="1" applyFill="1"/>
    <xf numFmtId="0" fontId="0" fillId="2" borderId="26" xfId="0" applyFill="1" applyBorder="1" applyAlignment="1">
      <alignment horizontal="right"/>
    </xf>
    <xf numFmtId="0" fontId="5" fillId="2" borderId="48" xfId="0" applyFont="1" applyFill="1" applyBorder="1"/>
    <xf numFmtId="0" fontId="13" fillId="0" borderId="27" xfId="0" applyFont="1" applyBorder="1" applyProtection="1"/>
    <xf numFmtId="0" fontId="6" fillId="0" borderId="78" xfId="0" applyFont="1" applyBorder="1" applyProtection="1"/>
    <xf numFmtId="0" fontId="0" fillId="0" borderId="72" xfId="0" applyBorder="1" applyProtection="1"/>
    <xf numFmtId="0" fontId="0" fillId="4" borderId="78" xfId="0" applyFill="1" applyBorder="1" applyAlignment="1" applyProtection="1">
      <alignment horizontal="center"/>
    </xf>
    <xf numFmtId="0" fontId="0" fillId="4" borderId="4" xfId="0" applyFill="1" applyBorder="1" applyAlignment="1" applyProtection="1">
      <alignment horizontal="center"/>
    </xf>
    <xf numFmtId="0" fontId="0" fillId="4" borderId="5" xfId="0" applyFill="1" applyBorder="1" applyAlignment="1" applyProtection="1">
      <alignment horizontal="center"/>
    </xf>
    <xf numFmtId="0" fontId="0" fillId="4" borderId="72" xfId="0" applyFill="1" applyBorder="1" applyAlignment="1" applyProtection="1">
      <alignment horizontal="center"/>
    </xf>
    <xf numFmtId="0" fontId="13" fillId="0" borderId="26" xfId="0" applyFont="1" applyBorder="1" applyProtection="1"/>
    <xf numFmtId="0" fontId="0" fillId="4" borderId="27" xfId="0" applyFill="1" applyBorder="1" applyAlignment="1" applyProtection="1">
      <alignment horizontal="center"/>
    </xf>
    <xf numFmtId="165" fontId="0" fillId="4" borderId="31" xfId="0" applyNumberFormat="1" applyFill="1" applyBorder="1" applyAlignment="1" applyProtection="1">
      <alignment horizontal="center"/>
    </xf>
    <xf numFmtId="0" fontId="6" fillId="0" borderId="27" xfId="0" applyFont="1" applyBorder="1" applyProtection="1"/>
    <xf numFmtId="0" fontId="0" fillId="6" borderId="1" xfId="0" applyFill="1" applyBorder="1" applyAlignment="1" applyProtection="1">
      <alignment horizontal="center" vertical="center"/>
    </xf>
    <xf numFmtId="0" fontId="0" fillId="2" borderId="4" xfId="0" applyFill="1" applyBorder="1" applyAlignment="1">
      <alignment vertical="center"/>
    </xf>
    <xf numFmtId="0" fontId="0" fillId="2" borderId="5" xfId="0" applyFill="1" applyBorder="1" applyAlignment="1">
      <alignment vertical="center"/>
    </xf>
    <xf numFmtId="3" fontId="0" fillId="0" borderId="26" xfId="0" applyNumberFormat="1" applyBorder="1" applyAlignment="1" applyProtection="1">
      <alignment horizontal="center"/>
    </xf>
    <xf numFmtId="3" fontId="0" fillId="0" borderId="48" xfId="0" applyNumberFormat="1" applyBorder="1" applyAlignment="1" applyProtection="1">
      <alignment horizontal="center"/>
    </xf>
    <xf numFmtId="3" fontId="0" fillId="0" borderId="50" xfId="0" applyNumberFormat="1" applyBorder="1" applyAlignment="1" applyProtection="1">
      <alignment horizontal="center"/>
    </xf>
    <xf numFmtId="3" fontId="0" fillId="0" borderId="51" xfId="0" applyNumberFormat="1" applyBorder="1" applyAlignment="1" applyProtection="1">
      <alignment horizontal="center"/>
    </xf>
    <xf numFmtId="0" fontId="0" fillId="10" borderId="0" xfId="0" applyFill="1" applyAlignment="1" applyProtection="1">
      <alignment vertical="center"/>
      <protection locked="0"/>
    </xf>
    <xf numFmtId="0" fontId="0" fillId="10" borderId="0" xfId="0" applyFill="1" applyProtection="1">
      <protection locked="0"/>
    </xf>
    <xf numFmtId="0" fontId="0" fillId="10" borderId="0" xfId="0" applyFill="1" applyBorder="1" applyProtection="1">
      <protection locked="0"/>
    </xf>
    <xf numFmtId="0" fontId="0" fillId="0" borderId="4" xfId="0"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17" fillId="0" borderId="2" xfId="0" applyFont="1" applyBorder="1" applyAlignment="1">
      <alignment horizontal="right" vertical="center"/>
    </xf>
    <xf numFmtId="0" fontId="0" fillId="10" borderId="11" xfId="0" applyFill="1" applyBorder="1" applyAlignment="1" applyProtection="1">
      <alignment vertical="center"/>
      <protection locked="0"/>
    </xf>
    <xf numFmtId="0" fontId="0" fillId="0" borderId="11" xfId="0" applyBorder="1" applyAlignment="1">
      <alignment vertical="center"/>
    </xf>
    <xf numFmtId="0" fontId="0" fillId="0" borderId="12" xfId="0" applyBorder="1" applyAlignment="1">
      <alignment vertical="center"/>
    </xf>
    <xf numFmtId="0" fontId="17" fillId="0" borderId="11" xfId="0" applyFont="1" applyBorder="1" applyAlignment="1">
      <alignment horizontal="right" vertical="center"/>
    </xf>
    <xf numFmtId="0" fontId="5" fillId="13" borderId="2" xfId="0" applyFont="1" applyFill="1" applyBorder="1" applyAlignment="1">
      <alignment horizontal="center" vertical="center"/>
    </xf>
    <xf numFmtId="0" fontId="5" fillId="13" borderId="3" xfId="0" applyFont="1" applyFill="1" applyBorder="1" applyAlignment="1">
      <alignment horizontal="center" vertical="center"/>
    </xf>
    <xf numFmtId="0" fontId="0" fillId="0" borderId="11" xfId="0" applyFill="1" applyBorder="1" applyAlignment="1">
      <alignment vertical="center"/>
    </xf>
    <xf numFmtId="0" fontId="0" fillId="0" borderId="4" xfId="0" applyFill="1" applyBorder="1" applyAlignment="1">
      <alignment vertical="center"/>
    </xf>
    <xf numFmtId="0" fontId="0" fillId="0" borderId="4" xfId="0" applyFill="1" applyBorder="1" applyAlignment="1">
      <alignment horizontal="center" vertical="center"/>
    </xf>
    <xf numFmtId="0" fontId="5" fillId="13" borderId="6" xfId="0" applyFont="1" applyFill="1" applyBorder="1" applyAlignment="1">
      <alignment horizontal="center" vertical="center"/>
    </xf>
    <xf numFmtId="0" fontId="5" fillId="13" borderId="8" xfId="0" applyFont="1" applyFill="1" applyBorder="1" applyAlignment="1">
      <alignment horizontal="center" vertical="center"/>
    </xf>
    <xf numFmtId="0" fontId="0" fillId="0" borderId="1" xfId="0" applyBorder="1" applyAlignment="1">
      <alignment vertical="center"/>
    </xf>
    <xf numFmtId="2" fontId="0" fillId="9" borderId="11" xfId="0" applyNumberFormat="1" applyFill="1" applyBorder="1" applyAlignment="1">
      <alignment vertical="center"/>
    </xf>
    <xf numFmtId="167" fontId="0" fillId="9" borderId="7" xfId="0" applyNumberFormat="1" applyFill="1" applyBorder="1" applyAlignment="1">
      <alignment horizontal="center" vertical="center"/>
    </xf>
    <xf numFmtId="167" fontId="0" fillId="9" borderId="10" xfId="0" applyNumberFormat="1" applyFill="1" applyBorder="1" applyAlignment="1">
      <alignment horizontal="center" vertical="center"/>
    </xf>
    <xf numFmtId="0" fontId="0" fillId="0" borderId="5" xfId="0" applyBorder="1"/>
    <xf numFmtId="0" fontId="0" fillId="0" borderId="8" xfId="0" applyBorder="1"/>
    <xf numFmtId="0" fontId="0" fillId="0" borderId="10" xfId="0" applyBorder="1"/>
    <xf numFmtId="0" fontId="0" fillId="0" borderId="7" xfId="0" applyBorder="1" applyAlignment="1">
      <alignment horizontal="center"/>
    </xf>
    <xf numFmtId="0" fontId="0" fillId="4" borderId="11" xfId="0" applyFill="1" applyBorder="1" applyAlignment="1" applyProtection="1">
      <alignment horizontal="center" vertical="center"/>
    </xf>
    <xf numFmtId="0" fontId="0" fillId="0" borderId="15" xfId="0" applyBorder="1" applyAlignment="1">
      <alignment vertical="center"/>
    </xf>
    <xf numFmtId="0" fontId="0" fillId="0" borderId="0" xfId="0" applyAlignment="1">
      <alignment horizontal="center"/>
    </xf>
    <xf numFmtId="2" fontId="0" fillId="9" borderId="9" xfId="0" applyNumberFormat="1" applyFill="1" applyBorder="1" applyAlignment="1">
      <alignment horizontal="center" vertical="center"/>
    </xf>
    <xf numFmtId="2" fontId="0" fillId="9" borderId="10" xfId="0" applyNumberFormat="1" applyFill="1" applyBorder="1" applyAlignment="1">
      <alignment horizontal="center" vertical="center"/>
    </xf>
    <xf numFmtId="2" fontId="0" fillId="9" borderId="0" xfId="0" applyNumberFormat="1" applyFill="1" applyBorder="1" applyAlignment="1">
      <alignment horizontal="center" vertical="center"/>
    </xf>
    <xf numFmtId="2" fontId="0" fillId="9" borderId="7" xfId="0" applyNumberFormat="1" applyFill="1" applyBorder="1" applyAlignment="1">
      <alignment horizontal="center" vertical="center"/>
    </xf>
    <xf numFmtId="2" fontId="0" fillId="4" borderId="9" xfId="0" applyNumberFormat="1" applyFill="1" applyBorder="1" applyAlignment="1">
      <alignment horizontal="center" vertical="center"/>
    </xf>
    <xf numFmtId="0" fontId="0" fillId="0" borderId="98" xfId="0" applyBorder="1"/>
    <xf numFmtId="0" fontId="0" fillId="0" borderId="99" xfId="0" applyBorder="1"/>
    <xf numFmtId="2" fontId="0" fillId="4" borderId="11" xfId="0" applyNumberFormat="1" applyFill="1" applyBorder="1" applyAlignment="1">
      <alignment horizontal="center" vertical="center"/>
    </xf>
    <xf numFmtId="0" fontId="0" fillId="0" borderId="3" xfId="0" applyFill="1" applyBorder="1" applyAlignment="1">
      <alignment horizontal="right" vertical="center"/>
    </xf>
    <xf numFmtId="0" fontId="0" fillId="0" borderId="5" xfId="0" applyFill="1" applyBorder="1" applyAlignment="1">
      <alignment horizontal="right" vertical="center"/>
    </xf>
    <xf numFmtId="0" fontId="0" fillId="0" borderId="4" xfId="0" applyFill="1" applyBorder="1" applyAlignment="1">
      <alignment horizontal="right" vertical="center"/>
    </xf>
    <xf numFmtId="0" fontId="0" fillId="0" borderId="3" xfId="0" applyFill="1" applyBorder="1" applyAlignment="1">
      <alignment horizontal="center" vertical="center"/>
    </xf>
    <xf numFmtId="0" fontId="0" fillId="0" borderId="5" xfId="0" applyFill="1" applyBorder="1" applyAlignment="1">
      <alignment horizontal="center" vertical="center"/>
    </xf>
    <xf numFmtId="0" fontId="0" fillId="0" borderId="3" xfId="0" applyFill="1" applyBorder="1" applyAlignment="1">
      <alignment vertical="center"/>
    </xf>
    <xf numFmtId="2" fontId="0" fillId="4" borderId="4" xfId="0" applyNumberFormat="1" applyFill="1" applyBorder="1" applyAlignment="1">
      <alignment horizontal="center" vertical="center"/>
    </xf>
    <xf numFmtId="0" fontId="0" fillId="0" borderId="0" xfId="0" applyFill="1" applyBorder="1" applyAlignment="1">
      <alignment horizontal="right" vertical="center"/>
    </xf>
    <xf numFmtId="0" fontId="0" fillId="0" borderId="7" xfId="0" applyFill="1" applyBorder="1" applyAlignment="1">
      <alignment horizontal="right" vertical="center"/>
    </xf>
    <xf numFmtId="0" fontId="0" fillId="0" borderId="3" xfId="0" applyBorder="1" applyAlignment="1">
      <alignment vertical="center"/>
    </xf>
    <xf numFmtId="2" fontId="0" fillId="4" borderId="4" xfId="0" applyNumberFormat="1" applyFill="1" applyBorder="1" applyAlignment="1">
      <alignment vertical="center"/>
    </xf>
    <xf numFmtId="0" fontId="0" fillId="0" borderId="7"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0" fillId="0" borderId="100" xfId="0" applyFill="1" applyBorder="1" applyAlignment="1">
      <alignment vertical="center"/>
    </xf>
    <xf numFmtId="0" fontId="0" fillId="0" borderId="101" xfId="0" applyFill="1" applyBorder="1" applyAlignment="1">
      <alignment horizontal="right" vertical="center"/>
    </xf>
    <xf numFmtId="2" fontId="0" fillId="9" borderId="102" xfId="0" applyNumberFormat="1" applyFill="1" applyBorder="1" applyAlignment="1">
      <alignment horizontal="center" vertical="center"/>
    </xf>
    <xf numFmtId="0" fontId="0" fillId="0" borderId="13" xfId="0" applyBorder="1" applyAlignment="1">
      <alignment vertical="center"/>
    </xf>
    <xf numFmtId="167" fontId="0" fillId="9" borderId="0" xfId="0" applyNumberFormat="1" applyFill="1" applyBorder="1" applyAlignment="1">
      <alignment horizontal="center" vertical="center"/>
    </xf>
    <xf numFmtId="167" fontId="0" fillId="9" borderId="9" xfId="0" applyNumberFormat="1"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9" xfId="0" applyBorder="1" applyAlignment="1">
      <alignment horizontal="center" vertical="center"/>
    </xf>
    <xf numFmtId="2" fontId="0" fillId="4" borderId="0" xfId="0" applyNumberFormat="1" applyFill="1" applyBorder="1" applyAlignment="1">
      <alignment horizontal="center" vertical="center"/>
    </xf>
    <xf numFmtId="0" fontId="0" fillId="0" borderId="5" xfId="0" applyFill="1" applyBorder="1" applyAlignment="1">
      <alignment vertical="center"/>
    </xf>
    <xf numFmtId="0" fontId="0" fillId="0" borderId="3" xfId="0" applyBorder="1"/>
    <xf numFmtId="0" fontId="0" fillId="0" borderId="4" xfId="0" applyBorder="1" applyAlignment="1">
      <alignment horizontal="center" vertical="center"/>
    </xf>
    <xf numFmtId="0" fontId="5" fillId="13" borderId="0" xfId="0" applyFont="1" applyFill="1" applyBorder="1" applyAlignment="1">
      <alignment horizontal="center" vertical="center"/>
    </xf>
    <xf numFmtId="2" fontId="0" fillId="9" borderId="0" xfId="0" applyNumberFormat="1" applyFill="1" applyAlignment="1" applyProtection="1">
      <alignment horizontal="center"/>
    </xf>
    <xf numFmtId="0" fontId="5" fillId="13" borderId="0" xfId="0" applyFont="1" applyFill="1" applyBorder="1" applyAlignment="1" applyProtection="1">
      <alignment horizontal="center" vertical="center"/>
    </xf>
    <xf numFmtId="0" fontId="0" fillId="4" borderId="0" xfId="0" applyFill="1" applyBorder="1" applyAlignment="1">
      <alignment horizontal="center"/>
    </xf>
    <xf numFmtId="0" fontId="3" fillId="4" borderId="0" xfId="0" applyFont="1" applyFill="1" applyAlignment="1">
      <alignment horizontal="center"/>
    </xf>
    <xf numFmtId="0" fontId="0" fillId="0" borderId="0" xfId="0" applyFill="1" applyAlignment="1">
      <alignment horizontal="center"/>
    </xf>
    <xf numFmtId="0" fontId="0" fillId="9" borderId="0" xfId="0" applyFill="1" applyAlignment="1">
      <alignment horizontal="center"/>
    </xf>
    <xf numFmtId="0" fontId="5" fillId="13" borderId="4" xfId="0" applyFont="1" applyFill="1" applyBorder="1" applyAlignment="1">
      <alignment horizontal="center" vertical="center"/>
    </xf>
    <xf numFmtId="0" fontId="5" fillId="13" borderId="5" xfId="0" applyFont="1" applyFill="1" applyBorder="1" applyAlignment="1">
      <alignment horizontal="center" vertical="center"/>
    </xf>
    <xf numFmtId="0" fontId="0" fillId="0" borderId="0" xfId="0" applyFill="1" applyBorder="1" applyAlignment="1">
      <alignment horizontal="center"/>
    </xf>
    <xf numFmtId="0" fontId="0" fillId="0" borderId="7" xfId="0" applyFill="1" applyBorder="1" applyAlignment="1">
      <alignment horizontal="center"/>
    </xf>
    <xf numFmtId="0" fontId="0" fillId="4" borderId="7" xfId="0" applyFill="1" applyBorder="1" applyAlignment="1">
      <alignment horizontal="center"/>
    </xf>
    <xf numFmtId="0" fontId="0" fillId="0" borderId="6" xfId="0" applyFill="1" applyBorder="1"/>
    <xf numFmtId="0" fontId="0" fillId="9" borderId="0" xfId="0" applyFill="1" applyBorder="1" applyAlignment="1">
      <alignment horizontal="center"/>
    </xf>
    <xf numFmtId="0" fontId="0" fillId="9" borderId="7" xfId="0" applyFill="1" applyBorder="1" applyAlignment="1">
      <alignment horizontal="center"/>
    </xf>
    <xf numFmtId="0" fontId="0" fillId="0" borderId="8" xfId="0" applyFill="1" applyBorder="1"/>
    <xf numFmtId="0" fontId="0" fillId="9" borderId="9" xfId="0" applyFill="1" applyBorder="1" applyAlignment="1">
      <alignment horizontal="center"/>
    </xf>
    <xf numFmtId="0" fontId="0" fillId="9" borderId="10" xfId="0" applyFill="1" applyBorder="1" applyAlignment="1">
      <alignment horizontal="center"/>
    </xf>
    <xf numFmtId="0" fontId="0" fillId="14" borderId="0" xfId="0" applyFill="1"/>
    <xf numFmtId="0" fontId="0" fillId="14" borderId="0" xfId="0" applyFill="1" applyBorder="1"/>
    <xf numFmtId="0" fontId="0" fillId="14" borderId="6" xfId="0" applyFill="1" applyBorder="1"/>
    <xf numFmtId="0" fontId="0" fillId="15" borderId="4" xfId="0" applyFill="1" applyBorder="1"/>
    <xf numFmtId="0" fontId="0" fillId="15" borderId="0" xfId="0" applyFill="1" applyBorder="1"/>
    <xf numFmtId="0" fontId="0" fillId="15" borderId="9" xfId="0" applyFill="1" applyBorder="1"/>
    <xf numFmtId="0" fontId="0" fillId="0" borderId="7" xfId="0" applyFill="1" applyBorder="1"/>
    <xf numFmtId="0" fontId="0" fillId="0" borderId="4" xfId="0" applyFill="1" applyBorder="1" applyAlignment="1">
      <alignment horizontal="center"/>
    </xf>
    <xf numFmtId="0" fontId="0" fillId="0" borderId="98" xfId="0" applyFill="1" applyBorder="1"/>
    <xf numFmtId="0" fontId="0" fillId="0" borderId="99" xfId="0" applyFill="1" applyBorder="1"/>
    <xf numFmtId="0" fontId="5" fillId="0" borderId="0" xfId="0" applyFont="1"/>
    <xf numFmtId="0" fontId="0" fillId="4" borderId="6" xfId="0" applyFill="1" applyBorder="1"/>
    <xf numFmtId="0" fontId="0" fillId="4" borderId="0" xfId="0" applyFill="1" applyBorder="1"/>
    <xf numFmtId="0" fontId="0" fillId="9" borderId="0" xfId="0" applyFill="1" applyBorder="1"/>
    <xf numFmtId="0" fontId="0" fillId="0" borderId="9" xfId="0" applyFill="1" applyBorder="1"/>
    <xf numFmtId="0" fontId="0" fillId="9" borderId="9" xfId="0" applyFill="1" applyBorder="1"/>
    <xf numFmtId="0" fontId="0" fillId="4" borderId="7" xfId="0" applyFill="1" applyBorder="1"/>
    <xf numFmtId="0" fontId="0" fillId="0" borderId="0" xfId="0" applyBorder="1" applyAlignment="1">
      <alignment horizontal="left" indent="2"/>
    </xf>
    <xf numFmtId="0" fontId="0" fillId="0" borderId="9" xfId="0" applyBorder="1" applyAlignment="1">
      <alignment horizontal="left" indent="2"/>
    </xf>
    <xf numFmtId="49" fontId="0" fillId="0" borderId="0" xfId="0" applyNumberFormat="1" applyFill="1" applyBorder="1"/>
    <xf numFmtId="49" fontId="0" fillId="0" borderId="0" xfId="0" quotePrefix="1" applyNumberFormat="1" applyFill="1" applyBorder="1"/>
    <xf numFmtId="49" fontId="0" fillId="0" borderId="0" xfId="0" applyNumberFormat="1" applyFill="1" applyBorder="1" applyAlignment="1">
      <alignment horizontal="left" indent="4"/>
    </xf>
    <xf numFmtId="49" fontId="0" fillId="0" borderId="0" xfId="0" quotePrefix="1" applyNumberFormat="1" applyFill="1" applyBorder="1" applyAlignment="1">
      <alignment horizontal="left" indent="4"/>
    </xf>
    <xf numFmtId="49" fontId="0" fillId="0" borderId="9" xfId="0" applyNumberFormat="1" applyFill="1" applyBorder="1" applyAlignment="1">
      <alignment horizontal="left" indent="4"/>
    </xf>
    <xf numFmtId="0" fontId="0" fillId="15" borderId="0" xfId="0" applyFill="1"/>
    <xf numFmtId="0" fontId="0" fillId="0" borderId="5" xfId="0" applyFill="1" applyBorder="1" applyAlignment="1">
      <alignment horizontal="center"/>
    </xf>
    <xf numFmtId="2" fontId="0" fillId="9" borderId="9" xfId="0" applyNumberFormat="1" applyFill="1" applyBorder="1" applyAlignment="1">
      <alignment horizontal="center"/>
    </xf>
    <xf numFmtId="2" fontId="0" fillId="9" borderId="10" xfId="0" applyNumberFormat="1" applyFill="1" applyBorder="1" applyAlignment="1">
      <alignment horizontal="center"/>
    </xf>
    <xf numFmtId="165" fontId="0" fillId="3" borderId="0" xfId="0" applyNumberFormat="1" applyFill="1"/>
    <xf numFmtId="0" fontId="0" fillId="4" borderId="6" xfId="0" applyFill="1" applyBorder="1" applyAlignment="1">
      <alignment horizontal="right"/>
    </xf>
    <xf numFmtId="0" fontId="0" fillId="4" borderId="0" xfId="0" applyFill="1" applyBorder="1" applyAlignment="1">
      <alignment horizontal="right"/>
    </xf>
    <xf numFmtId="0" fontId="0" fillId="4" borderId="7" xfId="0" applyFill="1" applyBorder="1" applyAlignment="1">
      <alignment horizontal="right"/>
    </xf>
    <xf numFmtId="2" fontId="0" fillId="9" borderId="0" xfId="0" applyNumberFormat="1" applyFill="1" applyAlignment="1">
      <alignment horizontal="center"/>
    </xf>
    <xf numFmtId="0" fontId="5" fillId="0" borderId="0" xfId="0" applyFont="1" applyFill="1"/>
    <xf numFmtId="0" fontId="0" fillId="11" borderId="0" xfId="0" applyFill="1" applyProtection="1"/>
    <xf numFmtId="0" fontId="0" fillId="11" borderId="0" xfId="0" applyFill="1" applyAlignment="1" applyProtection="1">
      <alignment horizontal="right"/>
    </xf>
    <xf numFmtId="3" fontId="0" fillId="11" borderId="0" xfId="0" applyNumberFormat="1" applyFill="1" applyAlignment="1" applyProtection="1">
      <alignment horizontal="center"/>
    </xf>
    <xf numFmtId="9" fontId="0" fillId="11" borderId="0" xfId="0" applyNumberFormat="1" applyFill="1" applyBorder="1" applyAlignment="1" applyProtection="1">
      <alignment horizontal="left"/>
    </xf>
    <xf numFmtId="0" fontId="0" fillId="11" borderId="0" xfId="0" applyFill="1" applyAlignment="1" applyProtection="1">
      <alignment horizontal="center"/>
    </xf>
    <xf numFmtId="0" fontId="0" fillId="11" borderId="13" xfId="0" applyFill="1" applyBorder="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0" fillId="11" borderId="3" xfId="0" applyFill="1" applyBorder="1" applyProtection="1"/>
    <xf numFmtId="0" fontId="0" fillId="11" borderId="4" xfId="0" applyFill="1" applyBorder="1" applyProtection="1"/>
    <xf numFmtId="0" fontId="0" fillId="11" borderId="5" xfId="0" applyFill="1" applyBorder="1" applyProtection="1"/>
    <xf numFmtId="0" fontId="0" fillId="11" borderId="8" xfId="0" applyFill="1" applyBorder="1" applyAlignment="1" applyProtection="1">
      <alignment horizontal="center"/>
    </xf>
    <xf numFmtId="0" fontId="0" fillId="11" borderId="9" xfId="0" applyFill="1" applyBorder="1" applyAlignment="1" applyProtection="1">
      <alignment horizontal="center"/>
    </xf>
    <xf numFmtId="0" fontId="0" fillId="11" borderId="10" xfId="0" applyFill="1" applyBorder="1" applyAlignment="1" applyProtection="1">
      <alignment horizontal="center"/>
    </xf>
    <xf numFmtId="165" fontId="0" fillId="9" borderId="6" xfId="0" applyNumberFormat="1" applyFill="1" applyBorder="1" applyAlignment="1" applyProtection="1">
      <alignment horizontal="center"/>
    </xf>
    <xf numFmtId="165" fontId="0" fillId="9" borderId="0" xfId="0" applyNumberFormat="1" applyFill="1" applyBorder="1" applyAlignment="1" applyProtection="1">
      <alignment horizontal="center"/>
    </xf>
    <xf numFmtId="165" fontId="0" fillId="9" borderId="8" xfId="0" applyNumberFormat="1" applyFill="1" applyBorder="1" applyAlignment="1" applyProtection="1">
      <alignment horizontal="center"/>
    </xf>
    <xf numFmtId="165" fontId="0" fillId="9" borderId="9" xfId="0" applyNumberFormat="1" applyFill="1" applyBorder="1" applyAlignment="1" applyProtection="1">
      <alignment horizontal="center"/>
    </xf>
    <xf numFmtId="165" fontId="0" fillId="9" borderId="5" xfId="0" applyNumberFormat="1" applyFill="1" applyBorder="1" applyAlignment="1" applyProtection="1">
      <alignment horizontal="center"/>
    </xf>
    <xf numFmtId="165" fontId="0" fillId="9" borderId="7" xfId="0" applyNumberFormat="1" applyFill="1" applyBorder="1" applyAlignment="1" applyProtection="1">
      <alignment horizontal="center"/>
    </xf>
    <xf numFmtId="165" fontId="0" fillId="9" borderId="10" xfId="0" applyNumberFormat="1" applyFill="1" applyBorder="1" applyAlignment="1" applyProtection="1">
      <alignment horizontal="center"/>
    </xf>
    <xf numFmtId="1" fontId="0" fillId="9" borderId="0" xfId="0" applyNumberFormat="1" applyFill="1" applyBorder="1" applyAlignment="1" applyProtection="1">
      <alignment horizontal="center"/>
    </xf>
    <xf numFmtId="1" fontId="0" fillId="9" borderId="7" xfId="0" applyNumberFormat="1" applyFill="1" applyBorder="1" applyAlignment="1" applyProtection="1">
      <alignment horizontal="center"/>
    </xf>
    <xf numFmtId="1" fontId="0" fillId="9" borderId="9" xfId="0" applyNumberFormat="1" applyFill="1" applyBorder="1" applyAlignment="1" applyProtection="1">
      <alignment horizontal="center"/>
    </xf>
    <xf numFmtId="0" fontId="0" fillId="9" borderId="22" xfId="0" applyFill="1" applyBorder="1" applyAlignment="1" applyProtection="1">
      <alignment horizontal="center"/>
    </xf>
    <xf numFmtId="0" fontId="0" fillId="9" borderId="0" xfId="0" applyFill="1" applyBorder="1" applyAlignment="1" applyProtection="1">
      <alignment horizontal="center"/>
    </xf>
    <xf numFmtId="1" fontId="0" fillId="9" borderId="57" xfId="0" applyNumberFormat="1" applyFill="1" applyBorder="1" applyAlignment="1" applyProtection="1">
      <alignment horizontal="center"/>
    </xf>
    <xf numFmtId="1" fontId="0" fillId="9" borderId="28" xfId="0" applyNumberFormat="1" applyFill="1" applyBorder="1" applyAlignment="1" applyProtection="1">
      <alignment horizontal="center"/>
    </xf>
    <xf numFmtId="1" fontId="0" fillId="9" borderId="22" xfId="0" applyNumberFormat="1" applyFill="1" applyBorder="1" applyAlignment="1" applyProtection="1">
      <alignment horizontal="center"/>
    </xf>
    <xf numFmtId="165" fontId="0" fillId="9" borderId="22" xfId="0" applyNumberFormat="1" applyFill="1" applyBorder="1" applyAlignment="1" applyProtection="1">
      <alignment horizontal="center"/>
    </xf>
    <xf numFmtId="165" fontId="0" fillId="9" borderId="57" xfId="0" applyNumberFormat="1" applyFill="1" applyBorder="1" applyAlignment="1" applyProtection="1">
      <alignment horizontal="center"/>
    </xf>
    <xf numFmtId="165" fontId="0" fillId="9" borderId="28" xfId="0" applyNumberFormat="1" applyFill="1" applyBorder="1" applyAlignment="1" applyProtection="1">
      <alignment horizontal="center"/>
    </xf>
    <xf numFmtId="165" fontId="0" fillId="9" borderId="45" xfId="0" applyNumberFormat="1" applyFill="1" applyBorder="1" applyAlignment="1" applyProtection="1">
      <alignment horizontal="center"/>
    </xf>
    <xf numFmtId="165" fontId="0" fillId="9" borderId="48" xfId="0" applyNumberFormat="1" applyFill="1" applyBorder="1" applyAlignment="1" applyProtection="1">
      <alignment horizontal="center"/>
    </xf>
    <xf numFmtId="165" fontId="0" fillId="9" borderId="55" xfId="0" applyNumberFormat="1" applyFill="1" applyBorder="1" applyAlignment="1" applyProtection="1">
      <alignment horizontal="center"/>
    </xf>
    <xf numFmtId="165" fontId="0" fillId="9" borderId="71" xfId="0" applyNumberFormat="1" applyFill="1" applyBorder="1" applyAlignment="1" applyProtection="1">
      <alignment horizontal="center"/>
    </xf>
    <xf numFmtId="165" fontId="0" fillId="9" borderId="51" xfId="0" applyNumberFormat="1" applyFill="1" applyBorder="1" applyAlignment="1" applyProtection="1">
      <alignment horizontal="center"/>
    </xf>
    <xf numFmtId="0" fontId="8" fillId="9" borderId="4" xfId="0" applyFont="1" applyFill="1" applyBorder="1" applyAlignment="1" applyProtection="1">
      <alignment horizontal="center"/>
    </xf>
    <xf numFmtId="0" fontId="8" fillId="9" borderId="5" xfId="0" applyFont="1" applyFill="1" applyBorder="1" applyAlignment="1" applyProtection="1">
      <alignment horizontal="center"/>
    </xf>
    <xf numFmtId="0" fontId="8" fillId="9" borderId="0" xfId="0" applyFont="1" applyFill="1" applyBorder="1" applyAlignment="1" applyProtection="1">
      <alignment horizontal="center"/>
    </xf>
    <xf numFmtId="0" fontId="8" fillId="9" borderId="7" xfId="0" applyFont="1" applyFill="1" applyBorder="1" applyAlignment="1" applyProtection="1">
      <alignment horizontal="center"/>
    </xf>
    <xf numFmtId="0" fontId="0" fillId="9" borderId="57" xfId="0" applyFill="1" applyBorder="1" applyAlignment="1" applyProtection="1">
      <alignment horizontal="center"/>
    </xf>
    <xf numFmtId="0" fontId="0" fillId="9" borderId="59" xfId="0" applyFill="1" applyBorder="1" applyAlignment="1" applyProtection="1">
      <alignment horizontal="center"/>
    </xf>
    <xf numFmtId="0" fontId="0" fillId="9" borderId="28" xfId="0" applyFill="1" applyBorder="1" applyAlignment="1" applyProtection="1">
      <alignment horizontal="center"/>
    </xf>
    <xf numFmtId="0" fontId="0" fillId="9" borderId="29" xfId="0" applyFill="1" applyBorder="1" applyAlignment="1" applyProtection="1">
      <alignment horizontal="center"/>
    </xf>
    <xf numFmtId="165" fontId="8" fillId="9" borderId="4" xfId="0" applyNumberFormat="1" applyFont="1" applyFill="1" applyBorder="1" applyAlignment="1" applyProtection="1">
      <alignment horizontal="center"/>
    </xf>
    <xf numFmtId="165" fontId="8" fillId="9" borderId="0" xfId="0" applyNumberFormat="1" applyFont="1" applyFill="1" applyBorder="1" applyAlignment="1" applyProtection="1">
      <alignment horizontal="center"/>
    </xf>
    <xf numFmtId="0" fontId="8" fillId="0" borderId="78" xfId="0" applyFont="1" applyFill="1" applyBorder="1" applyAlignment="1" applyProtection="1">
      <alignment horizontal="center"/>
    </xf>
    <xf numFmtId="0" fontId="8" fillId="0" borderId="5" xfId="0" applyFont="1" applyFill="1" applyBorder="1" applyAlignment="1" applyProtection="1">
      <alignment horizontal="center"/>
    </xf>
    <xf numFmtId="165" fontId="8" fillId="0" borderId="3" xfId="0" applyNumberFormat="1" applyFont="1" applyFill="1" applyBorder="1" applyAlignment="1" applyProtection="1">
      <alignment horizontal="center"/>
    </xf>
    <xf numFmtId="165" fontId="8" fillId="0" borderId="4" xfId="0" applyNumberFormat="1" applyFont="1" applyFill="1" applyBorder="1" applyAlignment="1" applyProtection="1">
      <alignment horizontal="center"/>
    </xf>
    <xf numFmtId="165" fontId="8" fillId="0" borderId="72" xfId="0" applyNumberFormat="1" applyFont="1" applyFill="1" applyBorder="1" applyAlignment="1" applyProtection="1">
      <alignment horizontal="center"/>
    </xf>
    <xf numFmtId="0" fontId="8" fillId="0" borderId="26" xfId="0" applyFont="1" applyFill="1" applyBorder="1" applyAlignment="1" applyProtection="1">
      <alignment horizontal="center"/>
    </xf>
    <xf numFmtId="0" fontId="8" fillId="0" borderId="7" xfId="0" applyFont="1" applyFill="1" applyBorder="1" applyAlignment="1" applyProtection="1">
      <alignment horizontal="center"/>
    </xf>
    <xf numFmtId="165" fontId="8" fillId="0" borderId="6" xfId="0" applyNumberFormat="1" applyFont="1" applyFill="1" applyBorder="1" applyAlignment="1" applyProtection="1">
      <alignment horizontal="center"/>
    </xf>
    <xf numFmtId="165" fontId="8" fillId="0" borderId="48" xfId="0" applyNumberFormat="1" applyFont="1" applyFill="1" applyBorder="1" applyAlignment="1" applyProtection="1">
      <alignment horizontal="center"/>
    </xf>
    <xf numFmtId="165" fontId="8" fillId="9" borderId="72" xfId="0" applyNumberFormat="1" applyFont="1" applyFill="1" applyBorder="1" applyAlignment="1" applyProtection="1">
      <alignment horizontal="center"/>
    </xf>
    <xf numFmtId="165" fontId="8" fillId="9" borderId="48" xfId="0" applyNumberFormat="1" applyFont="1" applyFill="1" applyBorder="1" applyAlignment="1" applyProtection="1">
      <alignment horizontal="center"/>
    </xf>
    <xf numFmtId="0" fontId="0" fillId="13" borderId="0" xfId="0" applyFill="1"/>
    <xf numFmtId="1" fontId="0" fillId="9" borderId="23" xfId="0" applyNumberFormat="1" applyFill="1" applyBorder="1" applyAlignment="1" applyProtection="1">
      <alignment horizontal="center"/>
    </xf>
    <xf numFmtId="1" fontId="0" fillId="9" borderId="70" xfId="0" applyNumberFormat="1" applyFill="1" applyBorder="1" applyAlignment="1" applyProtection="1">
      <alignment horizontal="center"/>
    </xf>
    <xf numFmtId="1" fontId="0" fillId="9" borderId="4" xfId="0" applyNumberFormat="1" applyFill="1" applyBorder="1" applyAlignment="1" applyProtection="1">
      <alignment horizontal="center"/>
    </xf>
    <xf numFmtId="165" fontId="0" fillId="9" borderId="23" xfId="0" applyNumberFormat="1" applyFill="1" applyBorder="1" applyAlignment="1" applyProtection="1">
      <alignment horizontal="center"/>
    </xf>
    <xf numFmtId="165" fontId="0" fillId="9" borderId="70" xfId="0" applyNumberFormat="1" applyFill="1" applyBorder="1" applyAlignment="1" applyProtection="1">
      <alignment horizontal="center"/>
    </xf>
    <xf numFmtId="165" fontId="0" fillId="9" borderId="79" xfId="0" applyNumberFormat="1" applyFill="1" applyBorder="1" applyAlignment="1" applyProtection="1">
      <alignment horizontal="center"/>
    </xf>
    <xf numFmtId="165" fontId="0" fillId="9" borderId="4" xfId="0" applyNumberFormat="1" applyFill="1" applyBorder="1" applyAlignment="1" applyProtection="1">
      <alignment horizontal="center"/>
    </xf>
    <xf numFmtId="165" fontId="0" fillId="9" borderId="59" xfId="0" applyNumberFormat="1" applyFill="1" applyBorder="1" applyAlignment="1" applyProtection="1">
      <alignment horizontal="center"/>
    </xf>
    <xf numFmtId="165" fontId="0" fillId="9" borderId="29" xfId="0" applyNumberFormat="1" applyFill="1" applyBorder="1" applyAlignment="1" applyProtection="1">
      <alignment horizontal="center"/>
    </xf>
    <xf numFmtId="165" fontId="0" fillId="9" borderId="32" xfId="0" applyNumberFormat="1" applyFill="1" applyBorder="1" applyAlignment="1" applyProtection="1">
      <alignment horizontal="center"/>
    </xf>
    <xf numFmtId="165" fontId="0" fillId="9" borderId="26" xfId="0" applyNumberFormat="1" applyFill="1" applyBorder="1" applyAlignment="1" applyProtection="1">
      <alignment horizontal="center"/>
    </xf>
    <xf numFmtId="165" fontId="0" fillId="9" borderId="78" xfId="0" quotePrefix="1" applyNumberFormat="1" applyFill="1" applyBorder="1" applyAlignment="1" applyProtection="1">
      <alignment horizontal="center"/>
    </xf>
    <xf numFmtId="165" fontId="0" fillId="9" borderId="50" xfId="0" applyNumberFormat="1" applyFill="1" applyBorder="1" applyAlignment="1" applyProtection="1">
      <alignment horizontal="center"/>
    </xf>
    <xf numFmtId="165" fontId="0" fillId="9" borderId="78" xfId="0" applyNumberFormat="1" applyFill="1" applyBorder="1" applyAlignment="1" applyProtection="1">
      <alignment horizontal="center"/>
    </xf>
    <xf numFmtId="165" fontId="0" fillId="9" borderId="56" xfId="0" applyNumberFormat="1" applyFill="1" applyBorder="1" applyAlignment="1" applyProtection="1">
      <alignment horizontal="center"/>
    </xf>
    <xf numFmtId="165" fontId="0" fillId="9" borderId="27" xfId="0" applyNumberFormat="1" applyFill="1" applyBorder="1" applyAlignment="1" applyProtection="1">
      <alignment horizontal="center"/>
    </xf>
    <xf numFmtId="165" fontId="0" fillId="9" borderId="25" xfId="0" applyNumberFormat="1" applyFill="1" applyBorder="1" applyAlignment="1" applyProtection="1">
      <alignment horizontal="center"/>
    </xf>
    <xf numFmtId="165" fontId="0" fillId="9" borderId="3" xfId="0" applyNumberFormat="1" applyFill="1" applyBorder="1" applyAlignment="1" applyProtection="1">
      <alignment horizontal="center"/>
    </xf>
    <xf numFmtId="165" fontId="0" fillId="9" borderId="58" xfId="0" applyNumberFormat="1" applyFill="1" applyBorder="1" applyAlignment="1" applyProtection="1">
      <alignment horizontal="center"/>
    </xf>
    <xf numFmtId="165" fontId="0" fillId="9" borderId="31" xfId="0" applyNumberFormat="1" applyFill="1" applyBorder="1" applyAlignment="1" applyProtection="1">
      <alignment horizontal="center"/>
    </xf>
    <xf numFmtId="0" fontId="0" fillId="9" borderId="0" xfId="0" applyFill="1" applyAlignment="1" applyProtection="1">
      <alignment horizontal="center"/>
    </xf>
    <xf numFmtId="0" fontId="0" fillId="15" borderId="6" xfId="0" applyFill="1" applyBorder="1" applyAlignment="1">
      <alignment vertical="top"/>
    </xf>
    <xf numFmtId="0" fontId="0" fillId="15" borderId="9" xfId="0" quotePrefix="1" applyFill="1" applyBorder="1"/>
    <xf numFmtId="2" fontId="0" fillId="16" borderId="4" xfId="0" applyNumberFormat="1" applyFill="1" applyBorder="1" applyAlignment="1" applyProtection="1">
      <alignment horizontal="center"/>
      <protection locked="0"/>
    </xf>
    <xf numFmtId="2" fontId="0" fillId="16" borderId="0" xfId="0" applyNumberFormat="1" applyFill="1" applyBorder="1" applyAlignment="1" applyProtection="1">
      <alignment horizontal="center"/>
      <protection locked="0"/>
    </xf>
    <xf numFmtId="2" fontId="0" fillId="16" borderId="9" xfId="0" applyNumberFormat="1" applyFill="1" applyBorder="1" applyAlignment="1" applyProtection="1">
      <alignment horizontal="center"/>
      <protection locked="0"/>
    </xf>
    <xf numFmtId="2" fontId="0" fillId="16" borderId="7" xfId="0" applyNumberFormat="1" applyFill="1" applyBorder="1" applyAlignment="1" applyProtection="1">
      <alignment horizontal="center"/>
      <protection locked="0"/>
    </xf>
    <xf numFmtId="2" fontId="0" fillId="16" borderId="10" xfId="0" applyNumberFormat="1" applyFill="1" applyBorder="1" applyAlignment="1" applyProtection="1">
      <alignment horizontal="center"/>
      <protection locked="0"/>
    </xf>
    <xf numFmtId="0" fontId="0" fillId="16" borderId="0" xfId="0" applyFill="1" applyBorder="1" applyAlignment="1" applyProtection="1">
      <alignment horizontal="center"/>
      <protection locked="0"/>
    </xf>
    <xf numFmtId="0" fontId="0" fillId="16" borderId="7" xfId="0" applyFill="1" applyBorder="1" applyAlignment="1" applyProtection="1">
      <alignment horizontal="center"/>
      <protection locked="0"/>
    </xf>
    <xf numFmtId="0" fontId="0" fillId="16" borderId="9" xfId="0" applyFill="1" applyBorder="1" applyAlignment="1" applyProtection="1">
      <alignment horizontal="center"/>
      <protection locked="0"/>
    </xf>
    <xf numFmtId="0" fontId="0" fillId="16" borderId="10" xfId="0" applyFill="1" applyBorder="1" applyAlignment="1" applyProtection="1">
      <alignment horizontal="center"/>
      <protection locked="0"/>
    </xf>
    <xf numFmtId="0" fontId="0" fillId="16" borderId="98" xfId="0" applyFill="1" applyBorder="1" applyAlignment="1" applyProtection="1">
      <alignment horizontal="center"/>
      <protection locked="0"/>
    </xf>
    <xf numFmtId="0" fontId="0" fillId="16" borderId="99" xfId="0" applyFill="1" applyBorder="1" applyAlignment="1" applyProtection="1">
      <alignment horizontal="center"/>
      <protection locked="0"/>
    </xf>
    <xf numFmtId="0" fontId="0" fillId="16" borderId="103" xfId="0" applyFill="1" applyBorder="1" applyAlignment="1" applyProtection="1">
      <alignment horizontal="center"/>
      <protection locked="0"/>
    </xf>
    <xf numFmtId="0" fontId="0" fillId="16" borderId="104" xfId="0" applyFill="1" applyBorder="1" applyAlignment="1" applyProtection="1">
      <alignment horizontal="center"/>
      <protection locked="0"/>
    </xf>
    <xf numFmtId="165" fontId="0" fillId="16" borderId="0" xfId="0" applyNumberFormat="1" applyFill="1" applyBorder="1" applyAlignment="1" applyProtection="1">
      <alignment horizontal="center"/>
      <protection locked="0"/>
    </xf>
    <xf numFmtId="165" fontId="0" fillId="16" borderId="7" xfId="0" applyNumberFormat="1" applyFill="1" applyBorder="1" applyAlignment="1" applyProtection="1">
      <alignment horizontal="center"/>
      <protection locked="0"/>
    </xf>
    <xf numFmtId="165" fontId="0" fillId="16" borderId="9" xfId="0" applyNumberFormat="1" applyFill="1" applyBorder="1" applyAlignment="1" applyProtection="1">
      <alignment horizontal="center"/>
      <protection locked="0"/>
    </xf>
    <xf numFmtId="165" fontId="0" fillId="16" borderId="10" xfId="0" applyNumberFormat="1" applyFill="1" applyBorder="1" applyAlignment="1" applyProtection="1">
      <alignment horizontal="center"/>
      <protection locked="0"/>
    </xf>
    <xf numFmtId="165" fontId="0" fillId="16" borderId="6" xfId="0" applyNumberFormat="1" applyFill="1" applyBorder="1" applyAlignment="1" applyProtection="1">
      <alignment horizontal="center"/>
      <protection locked="0"/>
    </xf>
    <xf numFmtId="165" fontId="0" fillId="16" borderId="8" xfId="0" applyNumberFormat="1" applyFill="1" applyBorder="1" applyAlignment="1" applyProtection="1">
      <alignment horizontal="center"/>
      <protection locked="0"/>
    </xf>
    <xf numFmtId="165" fontId="0" fillId="16" borderId="5" xfId="0" applyNumberFormat="1" applyFill="1" applyBorder="1" applyAlignment="1" applyProtection="1">
      <alignment horizontal="center"/>
      <protection locked="0"/>
    </xf>
    <xf numFmtId="1" fontId="0" fillId="16" borderId="0" xfId="0" applyNumberFormat="1" applyFill="1" applyBorder="1" applyAlignment="1" applyProtection="1">
      <alignment horizontal="center"/>
      <protection locked="0"/>
    </xf>
    <xf numFmtId="1" fontId="0" fillId="16" borderId="7" xfId="0" applyNumberFormat="1" applyFill="1" applyBorder="1" applyAlignment="1" applyProtection="1">
      <alignment horizontal="center"/>
      <protection locked="0"/>
    </xf>
    <xf numFmtId="1" fontId="0" fillId="16" borderId="9" xfId="0" applyNumberFormat="1" applyFill="1" applyBorder="1" applyAlignment="1" applyProtection="1">
      <alignment horizontal="center"/>
      <protection locked="0"/>
    </xf>
    <xf numFmtId="0" fontId="0" fillId="16" borderId="22" xfId="0" applyFill="1" applyBorder="1" applyAlignment="1" applyProtection="1">
      <alignment horizontal="center"/>
      <protection locked="0"/>
    </xf>
    <xf numFmtId="1" fontId="0" fillId="16" borderId="57" xfId="0" applyNumberFormat="1" applyFill="1" applyBorder="1" applyAlignment="1" applyProtection="1">
      <alignment horizontal="center"/>
      <protection locked="0"/>
    </xf>
    <xf numFmtId="1" fontId="0" fillId="16" borderId="28" xfId="0" applyNumberFormat="1" applyFill="1" applyBorder="1" applyAlignment="1" applyProtection="1">
      <alignment horizontal="center"/>
      <protection locked="0"/>
    </xf>
    <xf numFmtId="1" fontId="0" fillId="16" borderId="22" xfId="0" applyNumberFormat="1" applyFill="1" applyBorder="1" applyAlignment="1" applyProtection="1">
      <alignment horizontal="center"/>
      <protection locked="0"/>
    </xf>
    <xf numFmtId="165" fontId="0" fillId="16" borderId="22" xfId="0" applyNumberFormat="1" applyFill="1" applyBorder="1" applyAlignment="1" applyProtection="1">
      <alignment horizontal="center"/>
      <protection locked="0"/>
    </xf>
    <xf numFmtId="165" fontId="0" fillId="16" borderId="57" xfId="0" applyNumberFormat="1" applyFill="1" applyBorder="1" applyAlignment="1" applyProtection="1">
      <alignment horizontal="center"/>
      <protection locked="0"/>
    </xf>
    <xf numFmtId="165" fontId="0" fillId="16" borderId="28" xfId="0" applyNumberFormat="1" applyFill="1" applyBorder="1" applyAlignment="1" applyProtection="1">
      <alignment horizontal="center"/>
      <protection locked="0"/>
    </xf>
    <xf numFmtId="165" fontId="0" fillId="16" borderId="45" xfId="0" applyNumberFormat="1" applyFill="1" applyBorder="1" applyAlignment="1" applyProtection="1">
      <alignment horizontal="center"/>
      <protection locked="0"/>
    </xf>
    <xf numFmtId="165" fontId="0" fillId="16" borderId="48" xfId="0" applyNumberFormat="1" applyFill="1" applyBorder="1" applyAlignment="1" applyProtection="1">
      <alignment horizontal="center"/>
      <protection locked="0"/>
    </xf>
    <xf numFmtId="165" fontId="0" fillId="16" borderId="55" xfId="0" applyNumberFormat="1" applyFill="1" applyBorder="1" applyAlignment="1" applyProtection="1">
      <alignment horizontal="center"/>
      <protection locked="0"/>
    </xf>
    <xf numFmtId="165" fontId="0" fillId="16" borderId="71" xfId="0" applyNumberFormat="1" applyFill="1" applyBorder="1" applyAlignment="1" applyProtection="1">
      <alignment horizontal="center"/>
      <protection locked="0"/>
    </xf>
    <xf numFmtId="0" fontId="8" fillId="16" borderId="4" xfId="0" applyFont="1" applyFill="1" applyBorder="1" applyAlignment="1" applyProtection="1">
      <alignment horizontal="center"/>
      <protection locked="0"/>
    </xf>
    <xf numFmtId="0" fontId="8" fillId="16" borderId="5" xfId="0" applyFont="1" applyFill="1" applyBorder="1" applyAlignment="1" applyProtection="1">
      <alignment horizontal="center"/>
      <protection locked="0"/>
    </xf>
    <xf numFmtId="0" fontId="8" fillId="16" borderId="0" xfId="0" applyFont="1" applyFill="1" applyBorder="1" applyAlignment="1" applyProtection="1">
      <alignment horizontal="center"/>
      <protection locked="0"/>
    </xf>
    <xf numFmtId="0" fontId="8" fillId="16" borderId="7" xfId="0" applyFont="1" applyFill="1" applyBorder="1" applyAlignment="1" applyProtection="1">
      <alignment horizontal="center"/>
      <protection locked="0"/>
    </xf>
    <xf numFmtId="0" fontId="0" fillId="16" borderId="57" xfId="0" applyFill="1" applyBorder="1" applyAlignment="1" applyProtection="1">
      <alignment horizontal="center"/>
      <protection locked="0"/>
    </xf>
    <xf numFmtId="0" fontId="0" fillId="16" borderId="59" xfId="0" applyFill="1" applyBorder="1" applyAlignment="1" applyProtection="1">
      <alignment horizontal="center"/>
      <protection locked="0"/>
    </xf>
    <xf numFmtId="0" fontId="0" fillId="16" borderId="28" xfId="0" applyFill="1" applyBorder="1" applyAlignment="1" applyProtection="1">
      <alignment horizontal="center"/>
      <protection locked="0"/>
    </xf>
    <xf numFmtId="0" fontId="0" fillId="16" borderId="29" xfId="0" applyFill="1" applyBorder="1" applyAlignment="1" applyProtection="1">
      <alignment horizontal="center"/>
      <protection locked="0"/>
    </xf>
    <xf numFmtId="165" fontId="8" fillId="16" borderId="4" xfId="0" applyNumberFormat="1" applyFont="1" applyFill="1" applyBorder="1" applyAlignment="1" applyProtection="1">
      <alignment horizontal="center"/>
      <protection locked="0"/>
    </xf>
    <xf numFmtId="165" fontId="8" fillId="16" borderId="0" xfId="0" applyNumberFormat="1" applyFont="1" applyFill="1" applyBorder="1" applyAlignment="1" applyProtection="1">
      <alignment horizontal="center"/>
      <protection locked="0"/>
    </xf>
    <xf numFmtId="165" fontId="8" fillId="16" borderId="72" xfId="0" applyNumberFormat="1" applyFont="1" applyFill="1" applyBorder="1" applyAlignment="1" applyProtection="1">
      <alignment horizontal="center"/>
      <protection locked="0"/>
    </xf>
    <xf numFmtId="165" fontId="8" fillId="16" borderId="48" xfId="0" applyNumberFormat="1" applyFont="1" applyFill="1" applyBorder="1" applyAlignment="1" applyProtection="1">
      <alignment horizontal="center"/>
      <protection locked="0"/>
    </xf>
    <xf numFmtId="165" fontId="0" fillId="16" borderId="51" xfId="0" applyNumberFormat="1" applyFill="1" applyBorder="1" applyAlignment="1" applyProtection="1">
      <alignment horizontal="center"/>
      <protection locked="0"/>
    </xf>
    <xf numFmtId="1" fontId="0" fillId="9" borderId="45" xfId="0" applyNumberFormat="1" applyFill="1" applyBorder="1" applyAlignment="1" applyProtection="1">
      <alignment horizontal="center"/>
    </xf>
    <xf numFmtId="1" fontId="0" fillId="9" borderId="48" xfId="0" applyNumberFormat="1" applyFill="1" applyBorder="1" applyAlignment="1" applyProtection="1">
      <alignment horizontal="center"/>
    </xf>
    <xf numFmtId="1" fontId="0" fillId="9" borderId="67" xfId="0" applyNumberFormat="1" applyFill="1" applyBorder="1" applyAlignment="1" applyProtection="1">
      <alignment horizontal="center"/>
    </xf>
    <xf numFmtId="1" fontId="0" fillId="9" borderId="72" xfId="0" applyNumberFormat="1" applyFill="1" applyBorder="1" applyAlignment="1" applyProtection="1">
      <alignment horizontal="center"/>
    </xf>
    <xf numFmtId="1" fontId="0" fillId="9" borderId="51" xfId="0" applyNumberFormat="1" applyFill="1" applyBorder="1" applyAlignment="1" applyProtection="1">
      <alignment horizontal="center"/>
    </xf>
    <xf numFmtId="1" fontId="0" fillId="9" borderId="55" xfId="0" applyNumberFormat="1" applyFill="1" applyBorder="1" applyAlignment="1" applyProtection="1">
      <alignment horizontal="center"/>
    </xf>
    <xf numFmtId="1" fontId="0" fillId="9" borderId="71" xfId="0" applyNumberFormat="1" applyFill="1" applyBorder="1" applyAlignment="1" applyProtection="1">
      <alignment horizontal="center"/>
    </xf>
    <xf numFmtId="1" fontId="0" fillId="16" borderId="23" xfId="0" applyNumberFormat="1" applyFill="1" applyBorder="1" applyAlignment="1" applyProtection="1">
      <alignment horizontal="center"/>
      <protection locked="0"/>
    </xf>
    <xf numFmtId="1" fontId="0" fillId="16" borderId="70" xfId="0" applyNumberFormat="1" applyFill="1" applyBorder="1" applyAlignment="1" applyProtection="1">
      <alignment horizontal="center"/>
      <protection locked="0"/>
    </xf>
    <xf numFmtId="1" fontId="0" fillId="16" borderId="4" xfId="0" applyNumberFormat="1" applyFill="1" applyBorder="1" applyAlignment="1" applyProtection="1">
      <alignment horizontal="center"/>
      <protection locked="0"/>
    </xf>
    <xf numFmtId="165" fontId="0" fillId="16" borderId="23" xfId="0" applyNumberFormat="1" applyFill="1" applyBorder="1" applyAlignment="1" applyProtection="1">
      <alignment horizontal="center"/>
      <protection locked="0"/>
    </xf>
    <xf numFmtId="165" fontId="0" fillId="16" borderId="70" xfId="0" applyNumberFormat="1" applyFill="1" applyBorder="1" applyAlignment="1" applyProtection="1">
      <alignment horizontal="center"/>
      <protection locked="0"/>
    </xf>
    <xf numFmtId="165" fontId="0" fillId="16" borderId="79" xfId="0" applyNumberFormat="1" applyFill="1" applyBorder="1" applyAlignment="1" applyProtection="1">
      <alignment horizontal="center"/>
      <protection locked="0"/>
    </xf>
    <xf numFmtId="165" fontId="0" fillId="16" borderId="4" xfId="0" applyNumberFormat="1" applyFill="1" applyBorder="1" applyAlignment="1" applyProtection="1">
      <alignment horizontal="center"/>
      <protection locked="0"/>
    </xf>
    <xf numFmtId="165" fontId="0" fillId="16" borderId="59" xfId="0" applyNumberFormat="1" applyFill="1" applyBorder="1" applyAlignment="1" applyProtection="1">
      <alignment horizontal="center"/>
      <protection locked="0"/>
    </xf>
    <xf numFmtId="165" fontId="0" fillId="16" borderId="29" xfId="0" applyNumberFormat="1" applyFill="1" applyBorder="1" applyAlignment="1" applyProtection="1">
      <alignment horizontal="center"/>
      <protection locked="0"/>
    </xf>
    <xf numFmtId="1" fontId="0" fillId="16" borderId="45" xfId="0" applyNumberFormat="1" applyFill="1" applyBorder="1" applyAlignment="1" applyProtection="1">
      <alignment horizontal="center"/>
      <protection locked="0"/>
    </xf>
    <xf numFmtId="1" fontId="0" fillId="16" borderId="48" xfId="0" applyNumberFormat="1" applyFill="1" applyBorder="1" applyAlignment="1" applyProtection="1">
      <alignment horizontal="center"/>
      <protection locked="0"/>
    </xf>
    <xf numFmtId="1" fontId="0" fillId="16" borderId="67" xfId="0" applyNumberFormat="1" applyFill="1" applyBorder="1" applyAlignment="1" applyProtection="1">
      <alignment horizontal="center"/>
      <protection locked="0"/>
    </xf>
    <xf numFmtId="1" fontId="0" fillId="16" borderId="72" xfId="0" applyNumberFormat="1" applyFill="1" applyBorder="1" applyAlignment="1" applyProtection="1">
      <alignment horizontal="center"/>
      <protection locked="0"/>
    </xf>
    <xf numFmtId="1" fontId="0" fillId="16" borderId="51" xfId="0" applyNumberFormat="1" applyFill="1" applyBorder="1" applyAlignment="1" applyProtection="1">
      <alignment horizontal="center"/>
      <protection locked="0"/>
    </xf>
    <xf numFmtId="1" fontId="0" fillId="16" borderId="55" xfId="0" applyNumberFormat="1" applyFill="1" applyBorder="1" applyAlignment="1" applyProtection="1">
      <alignment horizontal="center"/>
      <protection locked="0"/>
    </xf>
    <xf numFmtId="1" fontId="0" fillId="16" borderId="71" xfId="0" applyNumberFormat="1" applyFill="1" applyBorder="1" applyAlignment="1" applyProtection="1">
      <alignment horizontal="center"/>
      <protection locked="0"/>
    </xf>
    <xf numFmtId="0" fontId="0" fillId="0" borderId="72" xfId="0" applyFill="1" applyBorder="1" applyAlignment="1" applyProtection="1">
      <alignment horizontal="center"/>
    </xf>
    <xf numFmtId="165" fontId="0" fillId="16" borderId="32" xfId="0" applyNumberFormat="1" applyFill="1" applyBorder="1" applyAlignment="1" applyProtection="1">
      <alignment horizontal="center"/>
      <protection locked="0"/>
    </xf>
    <xf numFmtId="165" fontId="0" fillId="16" borderId="26" xfId="0" applyNumberFormat="1" applyFill="1" applyBorder="1" applyAlignment="1" applyProtection="1">
      <alignment horizontal="center"/>
      <protection locked="0"/>
    </xf>
    <xf numFmtId="165" fontId="0" fillId="16" borderId="78" xfId="0" quotePrefix="1" applyNumberFormat="1" applyFill="1" applyBorder="1" applyAlignment="1" applyProtection="1">
      <alignment horizontal="center"/>
      <protection locked="0"/>
    </xf>
    <xf numFmtId="165" fontId="0" fillId="16" borderId="50" xfId="0" applyNumberFormat="1" applyFill="1" applyBorder="1" applyAlignment="1" applyProtection="1">
      <alignment horizontal="center"/>
      <protection locked="0"/>
    </xf>
    <xf numFmtId="165" fontId="0" fillId="16" borderId="78" xfId="0" applyNumberFormat="1" applyFill="1" applyBorder="1" applyAlignment="1" applyProtection="1">
      <alignment horizontal="center"/>
      <protection locked="0"/>
    </xf>
    <xf numFmtId="165" fontId="0" fillId="16" borderId="56" xfId="0" applyNumberFormat="1" applyFill="1" applyBorder="1" applyAlignment="1" applyProtection="1">
      <alignment horizontal="center"/>
      <protection locked="0"/>
    </xf>
    <xf numFmtId="165" fontId="0" fillId="16" borderId="27" xfId="0" applyNumberFormat="1" applyFill="1" applyBorder="1" applyAlignment="1" applyProtection="1">
      <alignment horizontal="center"/>
      <protection locked="0"/>
    </xf>
    <xf numFmtId="165" fontId="0" fillId="16" borderId="25" xfId="0" applyNumberFormat="1" applyFill="1" applyBorder="1" applyAlignment="1" applyProtection="1">
      <alignment horizontal="center"/>
      <protection locked="0"/>
    </xf>
    <xf numFmtId="165" fontId="0" fillId="16" borderId="3" xfId="0" applyNumberFormat="1" applyFill="1" applyBorder="1" applyAlignment="1" applyProtection="1">
      <alignment horizontal="center"/>
      <protection locked="0"/>
    </xf>
    <xf numFmtId="165" fontId="0" fillId="16" borderId="58" xfId="0" applyNumberFormat="1" applyFill="1" applyBorder="1" applyAlignment="1" applyProtection="1">
      <alignment horizontal="center"/>
      <protection locked="0"/>
    </xf>
    <xf numFmtId="165" fontId="0" fillId="16" borderId="31" xfId="0" applyNumberFormat="1" applyFill="1" applyBorder="1" applyAlignment="1" applyProtection="1">
      <alignment horizontal="center"/>
      <protection locked="0"/>
    </xf>
    <xf numFmtId="165" fontId="0" fillId="0" borderId="77" xfId="0" applyNumberFormat="1" applyFill="1" applyBorder="1" applyAlignment="1" applyProtection="1">
      <alignment horizontal="center"/>
    </xf>
    <xf numFmtId="0" fontId="0" fillId="15" borderId="0" xfId="0" applyFill="1" applyAlignment="1" applyProtection="1">
      <alignment horizontal="left"/>
    </xf>
    <xf numFmtId="0" fontId="0" fillId="16" borderId="8" xfId="0" applyFill="1" applyBorder="1" applyAlignment="1" applyProtection="1">
      <alignment horizontal="center"/>
      <protection locked="0"/>
    </xf>
    <xf numFmtId="0" fontId="0" fillId="9" borderId="11" xfId="0" applyFill="1" applyBorder="1" applyAlignment="1" applyProtection="1">
      <alignment horizontal="center"/>
    </xf>
    <xf numFmtId="0" fontId="0" fillId="9" borderId="66" xfId="0" applyFill="1" applyBorder="1" applyAlignment="1" applyProtection="1">
      <alignment horizontal="center"/>
    </xf>
    <xf numFmtId="0" fontId="0" fillId="9" borderId="9" xfId="0" applyFill="1" applyBorder="1" applyAlignment="1" applyProtection="1">
      <alignment horizontal="center"/>
    </xf>
    <xf numFmtId="0" fontId="0" fillId="9" borderId="70" xfId="0" applyFill="1" applyBorder="1" applyAlignment="1" applyProtection="1">
      <alignment horizontal="center"/>
    </xf>
    <xf numFmtId="0" fontId="0" fillId="9" borderId="35" xfId="0" applyFill="1" applyBorder="1" applyAlignment="1" applyProtection="1">
      <alignment horizontal="center"/>
    </xf>
    <xf numFmtId="0" fontId="0" fillId="9" borderId="22" xfId="0" quotePrefix="1" applyFill="1" applyBorder="1" applyAlignment="1" applyProtection="1">
      <alignment horizontal="center"/>
    </xf>
    <xf numFmtId="0" fontId="0" fillId="9" borderId="63" xfId="0" applyFill="1" applyBorder="1" applyAlignment="1" applyProtection="1">
      <alignment horizontal="center"/>
    </xf>
    <xf numFmtId="165" fontId="8" fillId="0" borderId="5" xfId="0" applyNumberFormat="1" applyFont="1" applyFill="1" applyBorder="1" applyAlignment="1" applyProtection="1">
      <alignment horizontal="center"/>
    </xf>
    <xf numFmtId="165" fontId="8" fillId="0" borderId="7" xfId="0" applyNumberFormat="1" applyFont="1" applyFill="1" applyBorder="1" applyAlignment="1" applyProtection="1">
      <alignment horizontal="center"/>
    </xf>
    <xf numFmtId="0" fontId="8" fillId="0" borderId="27" xfId="0" applyFont="1" applyFill="1" applyBorder="1" applyAlignment="1" applyProtection="1">
      <alignment horizontal="center"/>
    </xf>
    <xf numFmtId="165" fontId="8" fillId="0" borderId="28" xfId="0" applyNumberFormat="1" applyFont="1" applyFill="1" applyBorder="1" applyAlignment="1" applyProtection="1">
      <alignment horizontal="center"/>
    </xf>
    <xf numFmtId="0" fontId="8" fillId="0" borderId="28" xfId="0" applyFont="1" applyFill="1" applyBorder="1" applyAlignment="1" applyProtection="1">
      <alignment horizontal="center"/>
    </xf>
    <xf numFmtId="165" fontId="8" fillId="0" borderId="31" xfId="0" applyNumberFormat="1" applyFont="1" applyFill="1" applyBorder="1" applyAlignment="1" applyProtection="1">
      <alignment horizontal="center"/>
    </xf>
    <xf numFmtId="165" fontId="8" fillId="0" borderId="29" xfId="0" applyNumberFormat="1" applyFont="1" applyFill="1" applyBorder="1" applyAlignment="1" applyProtection="1">
      <alignment horizontal="center"/>
    </xf>
    <xf numFmtId="0" fontId="8" fillId="9" borderId="28" xfId="0" applyFont="1" applyFill="1" applyBorder="1" applyAlignment="1" applyProtection="1">
      <alignment horizontal="center"/>
    </xf>
    <xf numFmtId="165" fontId="8" fillId="9" borderId="5" xfId="0" applyNumberFormat="1" applyFont="1" applyFill="1" applyBorder="1" applyAlignment="1" applyProtection="1">
      <alignment horizontal="center"/>
    </xf>
    <xf numFmtId="165" fontId="8" fillId="9" borderId="7" xfId="0" applyNumberFormat="1" applyFont="1" applyFill="1" applyBorder="1" applyAlignment="1" applyProtection="1">
      <alignment horizontal="center"/>
    </xf>
    <xf numFmtId="165" fontId="8" fillId="9" borderId="29" xfId="0" applyNumberFormat="1" applyFont="1" applyFill="1" applyBorder="1" applyAlignment="1" applyProtection="1">
      <alignment horizontal="center"/>
    </xf>
    <xf numFmtId="0" fontId="8" fillId="9" borderId="48" xfId="0" applyFont="1" applyFill="1" applyBorder="1" applyAlignment="1" applyProtection="1">
      <alignment horizontal="center"/>
    </xf>
    <xf numFmtId="165" fontId="8" fillId="9" borderId="71" xfId="0" applyNumberFormat="1" applyFont="1" applyFill="1" applyBorder="1" applyAlignment="1" applyProtection="1">
      <alignment horizontal="center"/>
    </xf>
    <xf numFmtId="0" fontId="5" fillId="13" borderId="9" xfId="0" applyFont="1" applyFill="1" applyBorder="1" applyAlignment="1">
      <alignment horizontal="right"/>
    </xf>
    <xf numFmtId="0" fontId="5" fillId="0" borderId="0" xfId="0" applyFont="1" applyBorder="1" applyAlignment="1">
      <alignment horizontal="right"/>
    </xf>
    <xf numFmtId="0" fontId="5" fillId="13" borderId="0" xfId="0" applyFont="1" applyFill="1" applyBorder="1" applyAlignment="1">
      <alignment horizontal="right"/>
    </xf>
    <xf numFmtId="0" fontId="0" fillId="0" borderId="3" xfId="0" applyFill="1" applyBorder="1"/>
    <xf numFmtId="0" fontId="5" fillId="13" borderId="6" xfId="0" applyFont="1" applyFill="1" applyBorder="1" applyAlignment="1">
      <alignment horizontal="right"/>
    </xf>
    <xf numFmtId="0" fontId="0" fillId="0" borderId="48" xfId="0" applyFill="1" applyBorder="1" applyAlignment="1" applyProtection="1">
      <alignment horizontal="left"/>
    </xf>
    <xf numFmtId="0" fontId="0" fillId="0" borderId="72" xfId="0" applyBorder="1" applyAlignment="1" applyProtection="1">
      <alignment horizontal="left"/>
    </xf>
    <xf numFmtId="0" fontId="0" fillId="0" borderId="0" xfId="0" applyBorder="1" applyAlignment="1" applyProtection="1">
      <alignment horizontal="left"/>
    </xf>
    <xf numFmtId="0" fontId="0" fillId="0" borderId="28" xfId="0" applyBorder="1" applyAlignment="1" applyProtection="1">
      <alignment horizontal="left"/>
    </xf>
    <xf numFmtId="0" fontId="0" fillId="9" borderId="45" xfId="0" quotePrefix="1" applyFill="1" applyBorder="1" applyAlignment="1" applyProtection="1">
      <alignment horizontal="center"/>
    </xf>
    <xf numFmtId="0" fontId="0" fillId="9" borderId="53" xfId="0" applyFill="1" applyBorder="1" applyAlignment="1" applyProtection="1">
      <alignment horizontal="center"/>
    </xf>
    <xf numFmtId="0" fontId="0" fillId="9" borderId="48" xfId="0" applyFill="1" applyBorder="1" applyAlignment="1" applyProtection="1">
      <alignment horizontal="center"/>
    </xf>
    <xf numFmtId="0" fontId="0" fillId="9" borderId="55" xfId="0" applyFill="1" applyBorder="1" applyAlignment="1" applyProtection="1">
      <alignment horizontal="center"/>
    </xf>
    <xf numFmtId="0" fontId="0" fillId="9" borderId="61" xfId="0" applyFill="1" applyBorder="1" applyAlignment="1" applyProtection="1">
      <alignment horizontal="center"/>
    </xf>
    <xf numFmtId="0" fontId="0" fillId="9" borderId="82" xfId="0" applyFill="1" applyBorder="1" applyAlignment="1" applyProtection="1">
      <alignment horizontal="center"/>
    </xf>
    <xf numFmtId="0" fontId="0" fillId="9" borderId="51" xfId="0" applyFill="1" applyBorder="1" applyAlignment="1" applyProtection="1">
      <alignment horizontal="center"/>
    </xf>
    <xf numFmtId="0" fontId="0" fillId="9" borderId="68" xfId="0" applyFill="1" applyBorder="1" applyAlignment="1" applyProtection="1">
      <alignment horizontal="center"/>
    </xf>
    <xf numFmtId="0" fontId="0" fillId="16" borderId="22" xfId="0" quotePrefix="1" applyFill="1" applyBorder="1" applyAlignment="1" applyProtection="1">
      <alignment horizontal="center"/>
      <protection locked="0"/>
    </xf>
    <xf numFmtId="0" fontId="0" fillId="16" borderId="11" xfId="0" applyFill="1" applyBorder="1" applyAlignment="1" applyProtection="1">
      <alignment horizontal="center"/>
      <protection locked="0"/>
    </xf>
    <xf numFmtId="0" fontId="0" fillId="16" borderId="63" xfId="0" applyFill="1" applyBorder="1" applyAlignment="1" applyProtection="1">
      <alignment horizontal="center"/>
      <protection locked="0"/>
    </xf>
    <xf numFmtId="0" fontId="0" fillId="16" borderId="66" xfId="0" applyFill="1" applyBorder="1" applyAlignment="1" applyProtection="1">
      <alignment horizontal="center"/>
      <protection locked="0"/>
    </xf>
    <xf numFmtId="0" fontId="0" fillId="16" borderId="70" xfId="0" applyFill="1" applyBorder="1" applyAlignment="1" applyProtection="1">
      <alignment horizontal="center"/>
      <protection locked="0"/>
    </xf>
    <xf numFmtId="0" fontId="0" fillId="16" borderId="35" xfId="0" applyFill="1" applyBorder="1" applyAlignment="1" applyProtection="1">
      <alignment horizontal="center"/>
      <protection locked="0"/>
    </xf>
    <xf numFmtId="0" fontId="0" fillId="16" borderId="67" xfId="0" applyFill="1" applyBorder="1" applyAlignment="1" applyProtection="1">
      <alignment horizontal="center"/>
      <protection locked="0"/>
    </xf>
    <xf numFmtId="0" fontId="0" fillId="16" borderId="71" xfId="0" applyFill="1" applyBorder="1" applyAlignment="1" applyProtection="1">
      <alignment horizontal="center"/>
      <protection locked="0"/>
    </xf>
    <xf numFmtId="0" fontId="0" fillId="16" borderId="68" xfId="0" applyFill="1" applyBorder="1" applyAlignment="1" applyProtection="1">
      <alignment horizontal="center"/>
      <protection locked="0"/>
    </xf>
    <xf numFmtId="0" fontId="0" fillId="16" borderId="45" xfId="0" quotePrefix="1" applyFill="1" applyBorder="1" applyAlignment="1" applyProtection="1">
      <alignment horizontal="center"/>
      <protection locked="0"/>
    </xf>
    <xf numFmtId="0" fontId="0" fillId="16" borderId="53" xfId="0" applyFill="1" applyBorder="1" applyAlignment="1" applyProtection="1">
      <alignment horizontal="center"/>
      <protection locked="0"/>
    </xf>
    <xf numFmtId="0" fontId="0" fillId="16" borderId="48" xfId="0" applyFill="1" applyBorder="1" applyAlignment="1" applyProtection="1">
      <alignment horizontal="center"/>
      <protection locked="0"/>
    </xf>
    <xf numFmtId="0" fontId="0" fillId="16" borderId="55" xfId="0" applyFill="1" applyBorder="1" applyAlignment="1" applyProtection="1">
      <alignment horizontal="center"/>
      <protection locked="0"/>
    </xf>
    <xf numFmtId="0" fontId="0" fillId="16" borderId="61" xfId="0" applyFill="1" applyBorder="1" applyAlignment="1" applyProtection="1">
      <alignment horizontal="center"/>
      <protection locked="0"/>
    </xf>
    <xf numFmtId="0" fontId="0" fillId="16" borderId="82" xfId="0" applyFill="1" applyBorder="1" applyAlignment="1" applyProtection="1">
      <alignment horizontal="center"/>
      <protection locked="0"/>
    </xf>
    <xf numFmtId="0" fontId="0" fillId="16" borderId="51" xfId="0" applyFill="1" applyBorder="1" applyAlignment="1" applyProtection="1">
      <alignment horizontal="center"/>
      <protection locked="0"/>
    </xf>
    <xf numFmtId="0" fontId="0" fillId="9" borderId="67" xfId="0" applyFill="1" applyBorder="1" applyAlignment="1" applyProtection="1">
      <alignment horizontal="center"/>
    </xf>
    <xf numFmtId="0" fontId="0" fillId="9" borderId="71" xfId="0" applyFill="1" applyBorder="1" applyAlignment="1" applyProtection="1">
      <alignment horizontal="center"/>
    </xf>
    <xf numFmtId="0" fontId="0" fillId="0" borderId="76" xfId="0" applyFill="1" applyBorder="1" applyAlignment="1" applyProtection="1">
      <alignment horizontal="center"/>
    </xf>
    <xf numFmtId="0" fontId="0" fillId="0" borderId="70" xfId="0" applyFill="1" applyBorder="1" applyAlignment="1" applyProtection="1">
      <alignment horizontal="center"/>
    </xf>
    <xf numFmtId="0" fontId="0" fillId="0" borderId="77" xfId="0" applyFill="1" applyBorder="1" applyAlignment="1" applyProtection="1">
      <alignment horizontal="center"/>
    </xf>
    <xf numFmtId="0" fontId="0" fillId="0" borderId="67" xfId="0" applyFill="1" applyBorder="1" applyAlignment="1" applyProtection="1">
      <alignment horizontal="center"/>
    </xf>
    <xf numFmtId="0" fontId="0" fillId="0" borderId="22" xfId="0" applyFill="1" applyBorder="1" applyProtection="1"/>
    <xf numFmtId="0" fontId="0" fillId="0" borderId="25" xfId="0" applyFill="1" applyBorder="1" applyAlignment="1" applyProtection="1">
      <alignment horizontal="center"/>
    </xf>
    <xf numFmtId="0" fontId="0" fillId="0" borderId="23" xfId="0" applyFill="1" applyBorder="1" applyAlignment="1" applyProtection="1">
      <alignment horizontal="center"/>
    </xf>
    <xf numFmtId="0" fontId="0" fillId="0" borderId="45" xfId="0" applyFill="1" applyBorder="1" applyAlignment="1" applyProtection="1">
      <alignment horizontal="center"/>
    </xf>
    <xf numFmtId="0" fontId="0" fillId="0" borderId="1" xfId="0" applyFill="1" applyBorder="1" applyAlignment="1" applyProtection="1">
      <alignment horizontal="center"/>
    </xf>
    <xf numFmtId="0" fontId="0" fillId="0" borderId="53" xfId="0" applyFill="1" applyBorder="1" applyAlignment="1" applyProtection="1">
      <alignment horizontal="center"/>
    </xf>
    <xf numFmtId="0" fontId="0" fillId="0" borderId="55" xfId="0" applyFill="1" applyBorder="1" applyAlignment="1" applyProtection="1">
      <alignment horizontal="center"/>
    </xf>
    <xf numFmtId="0" fontId="0" fillId="0" borderId="60" xfId="0" applyFill="1" applyBorder="1" applyAlignment="1" applyProtection="1">
      <alignment horizontal="center"/>
    </xf>
    <xf numFmtId="0" fontId="0" fillId="0" borderId="61" xfId="0" applyFill="1" applyBorder="1" applyAlignment="1" applyProtection="1">
      <alignment horizontal="center"/>
    </xf>
    <xf numFmtId="0" fontId="0" fillId="0" borderId="33" xfId="0" applyFill="1" applyBorder="1" applyAlignment="1" applyProtection="1">
      <alignment horizontal="center"/>
    </xf>
    <xf numFmtId="169" fontId="0" fillId="16" borderId="26" xfId="0" applyNumberFormat="1" applyFill="1" applyBorder="1" applyAlignment="1" applyProtection="1">
      <alignment horizontal="center"/>
      <protection locked="0"/>
    </xf>
    <xf numFmtId="169" fontId="0" fillId="16" borderId="27" xfId="0" applyNumberFormat="1" applyFill="1" applyBorder="1" applyAlignment="1" applyProtection="1">
      <alignment horizontal="center"/>
      <protection locked="0"/>
    </xf>
    <xf numFmtId="169" fontId="0" fillId="16" borderId="6" xfId="0" applyNumberFormat="1" applyFill="1" applyBorder="1" applyAlignment="1" applyProtection="1">
      <alignment horizontal="center"/>
      <protection locked="0"/>
    </xf>
    <xf numFmtId="169" fontId="0" fillId="16" borderId="31" xfId="0" applyNumberFormat="1" applyFill="1" applyBorder="1" applyAlignment="1" applyProtection="1">
      <alignment horizontal="center"/>
      <protection locked="0"/>
    </xf>
    <xf numFmtId="169" fontId="0" fillId="16" borderId="0" xfId="0" applyNumberFormat="1" applyFill="1" applyBorder="1" applyAlignment="1" applyProtection="1">
      <alignment horizontal="center"/>
      <protection locked="0"/>
    </xf>
    <xf numFmtId="169" fontId="0" fillId="16" borderId="28" xfId="0" applyNumberFormat="1" applyFill="1" applyBorder="1" applyAlignment="1" applyProtection="1">
      <alignment horizontal="center"/>
      <protection locked="0"/>
    </xf>
    <xf numFmtId="169" fontId="0" fillId="0" borderId="22" xfId="0" applyNumberFormat="1" applyBorder="1" applyAlignment="1" applyProtection="1">
      <alignment horizontal="center"/>
    </xf>
    <xf numFmtId="169" fontId="0" fillId="0" borderId="23" xfId="0" applyNumberFormat="1" applyBorder="1" applyAlignment="1" applyProtection="1">
      <alignment horizontal="center"/>
    </xf>
    <xf numFmtId="169" fontId="0" fillId="9" borderId="26" xfId="0" applyNumberFormat="1" applyFill="1" applyBorder="1" applyAlignment="1" applyProtection="1">
      <alignment horizontal="center"/>
    </xf>
    <xf numFmtId="169" fontId="0" fillId="9" borderId="27" xfId="0" applyNumberFormat="1" applyFill="1" applyBorder="1" applyAlignment="1" applyProtection="1">
      <alignment horizontal="center"/>
    </xf>
    <xf numFmtId="169" fontId="0" fillId="9" borderId="25" xfId="0" applyNumberFormat="1" applyFill="1" applyBorder="1" applyAlignment="1" applyProtection="1">
      <alignment horizontal="center"/>
    </xf>
    <xf numFmtId="169" fontId="0" fillId="9" borderId="6" xfId="0" applyNumberFormat="1" applyFill="1" applyBorder="1" applyAlignment="1" applyProtection="1">
      <alignment horizontal="center"/>
    </xf>
    <xf numFmtId="169" fontId="0" fillId="9" borderId="31" xfId="0" applyNumberFormat="1" applyFill="1" applyBorder="1" applyAlignment="1" applyProtection="1">
      <alignment horizontal="center"/>
    </xf>
    <xf numFmtId="169" fontId="0" fillId="9" borderId="0" xfId="0" applyNumberFormat="1" applyFill="1" applyBorder="1" applyAlignment="1" applyProtection="1">
      <alignment horizontal="center"/>
    </xf>
    <xf numFmtId="169" fontId="0" fillId="9" borderId="28" xfId="0" applyNumberFormat="1" applyFill="1" applyBorder="1" applyAlignment="1" applyProtection="1">
      <alignment horizontal="center"/>
    </xf>
    <xf numFmtId="169" fontId="0" fillId="16" borderId="3" xfId="0" applyNumberFormat="1" applyFill="1" applyBorder="1" applyAlignment="1" applyProtection="1">
      <alignment horizontal="center"/>
      <protection locked="0"/>
    </xf>
    <xf numFmtId="169" fontId="0" fillId="9" borderId="3" xfId="0" applyNumberFormat="1" applyFill="1" applyBorder="1" applyAlignment="1" applyProtection="1">
      <alignment horizontal="center"/>
    </xf>
    <xf numFmtId="165" fontId="0" fillId="9" borderId="0" xfId="0" applyNumberFormat="1" applyFill="1" applyAlignment="1">
      <alignment horizontal="center"/>
    </xf>
    <xf numFmtId="0" fontId="0" fillId="9" borderId="0" xfId="0" applyFill="1"/>
    <xf numFmtId="0" fontId="0" fillId="16" borderId="0" xfId="0" applyFill="1" applyProtection="1">
      <protection locked="0"/>
    </xf>
    <xf numFmtId="0" fontId="0" fillId="16" borderId="0" xfId="0" applyFill="1" applyAlignment="1" applyProtection="1">
      <alignment horizontal="center"/>
      <protection locked="0"/>
    </xf>
    <xf numFmtId="165" fontId="0" fillId="16" borderId="0" xfId="0" applyNumberFormat="1" applyFill="1" applyAlignment="1" applyProtection="1">
      <alignment horizontal="center"/>
      <protection locked="0"/>
    </xf>
    <xf numFmtId="165" fontId="0" fillId="9" borderId="0" xfId="0" applyNumberFormat="1" applyFill="1"/>
    <xf numFmtId="0" fontId="11" fillId="0" borderId="0" xfId="0" applyFont="1"/>
    <xf numFmtId="0" fontId="0" fillId="0" borderId="4" xfId="0" applyFill="1" applyBorder="1"/>
    <xf numFmtId="0" fontId="0" fillId="4" borderId="5" xfId="0" applyFill="1" applyBorder="1"/>
    <xf numFmtId="0" fontId="0" fillId="0" borderId="5" xfId="0" applyFill="1" applyBorder="1"/>
    <xf numFmtId="0" fontId="0" fillId="0" borderId="10" xfId="0" applyFill="1" applyBorder="1"/>
    <xf numFmtId="0" fontId="0" fillId="0" borderId="3" xfId="0" applyFill="1" applyBorder="1" applyAlignment="1">
      <alignment horizontal="center"/>
    </xf>
    <xf numFmtId="0" fontId="0" fillId="9" borderId="8" xfId="0" applyFill="1" applyBorder="1" applyAlignment="1">
      <alignment horizontal="center"/>
    </xf>
    <xf numFmtId="0" fontId="0" fillId="16" borderId="27" xfId="0" applyFill="1" applyBorder="1" applyAlignment="1" applyProtection="1">
      <alignment horizontal="center"/>
      <protection locked="0"/>
    </xf>
    <xf numFmtId="0" fontId="0" fillId="16" borderId="31" xfId="0" applyFill="1" applyBorder="1" applyAlignment="1" applyProtection="1">
      <alignment horizontal="center"/>
      <protection locked="0"/>
    </xf>
    <xf numFmtId="0" fontId="5" fillId="13" borderId="3" xfId="0" applyFont="1" applyFill="1" applyBorder="1" applyAlignment="1">
      <alignment horizontal="right"/>
    </xf>
    <xf numFmtId="0" fontId="0" fillId="0" borderId="0" xfId="0" applyAlignment="1">
      <alignment horizontal="left" indent="1"/>
    </xf>
    <xf numFmtId="0" fontId="0" fillId="0" borderId="0" xfId="0" applyAlignment="1">
      <alignment horizontal="left" indent="2"/>
    </xf>
    <xf numFmtId="2" fontId="0" fillId="16" borderId="0" xfId="0" applyNumberFormat="1" applyFill="1" applyAlignment="1" applyProtection="1">
      <alignment horizontal="center"/>
      <protection locked="0"/>
    </xf>
    <xf numFmtId="2" fontId="0" fillId="0" borderId="0" xfId="0" applyNumberFormat="1" applyFill="1"/>
    <xf numFmtId="0" fontId="5" fillId="13" borderId="0" xfId="0" applyFont="1" applyFill="1" applyBorder="1" applyAlignment="1">
      <alignment horizontal="right" indent="2"/>
    </xf>
    <xf numFmtId="0" fontId="0" fillId="0" borderId="0" xfId="0" applyAlignment="1">
      <alignment horizontal="right" indent="1"/>
    </xf>
    <xf numFmtId="0" fontId="5" fillId="0" borderId="3" xfId="0" applyFont="1" applyBorder="1" applyAlignment="1">
      <alignment horizontal="right"/>
    </xf>
    <xf numFmtId="0" fontId="5" fillId="0" borderId="6" xfId="0" applyFont="1" applyBorder="1" applyAlignment="1">
      <alignment horizontal="right"/>
    </xf>
    <xf numFmtId="0" fontId="5" fillId="13" borderId="8" xfId="0" applyFont="1" applyFill="1" applyBorder="1" applyAlignment="1">
      <alignment horizontal="right"/>
    </xf>
    <xf numFmtId="0" fontId="5" fillId="13" borderId="2" xfId="0" applyFont="1" applyFill="1" applyBorder="1" applyAlignment="1">
      <alignment horizontal="right"/>
    </xf>
    <xf numFmtId="0" fontId="0" fillId="15" borderId="11" xfId="0" applyFill="1" applyBorder="1"/>
    <xf numFmtId="2" fontId="0" fillId="16" borderId="12" xfId="0" applyNumberFormat="1" applyFill="1" applyBorder="1" applyAlignment="1" applyProtection="1">
      <alignment horizontal="center"/>
      <protection locked="0"/>
    </xf>
    <xf numFmtId="0" fontId="0" fillId="15" borderId="11" xfId="0" applyFill="1" applyBorder="1" applyAlignment="1">
      <alignment vertical="center"/>
    </xf>
    <xf numFmtId="0" fontId="0" fillId="16" borderId="11" xfId="0" applyFill="1" applyBorder="1" applyAlignment="1" applyProtection="1">
      <alignment horizontal="center" vertical="center"/>
      <protection locked="0"/>
    </xf>
    <xf numFmtId="0" fontId="0" fillId="16" borderId="12" xfId="0" applyFill="1" applyBorder="1" applyAlignment="1" applyProtection="1">
      <alignment horizontal="center" vertical="center"/>
      <protection locked="0"/>
    </xf>
    <xf numFmtId="0" fontId="0" fillId="15" borderId="0" xfId="0" applyFill="1" applyProtection="1"/>
    <xf numFmtId="0" fontId="10" fillId="16" borderId="0" xfId="0" applyFont="1" applyFill="1" applyBorder="1" applyAlignment="1" applyProtection="1">
      <alignment horizontal="center"/>
      <protection locked="0"/>
    </xf>
    <xf numFmtId="165" fontId="10" fillId="0" borderId="6" xfId="0" applyNumberFormat="1" applyFont="1" applyFill="1" applyBorder="1" applyAlignment="1" applyProtection="1">
      <alignment horizontal="center"/>
    </xf>
    <xf numFmtId="165" fontId="10" fillId="16" borderId="0" xfId="0" applyNumberFormat="1" applyFont="1" applyFill="1" applyBorder="1" applyAlignment="1" applyProtection="1">
      <alignment horizontal="center"/>
      <protection locked="0"/>
    </xf>
    <xf numFmtId="0" fontId="10" fillId="16" borderId="7" xfId="0" applyFont="1" applyFill="1" applyBorder="1" applyAlignment="1" applyProtection="1">
      <alignment horizontal="center"/>
      <protection locked="0"/>
    </xf>
    <xf numFmtId="165" fontId="10" fillId="0" borderId="0" xfId="0" applyNumberFormat="1" applyFont="1" applyFill="1" applyBorder="1" applyAlignment="1" applyProtection="1">
      <alignment horizontal="center"/>
    </xf>
    <xf numFmtId="0" fontId="10" fillId="16" borderId="48" xfId="0" applyFont="1" applyFill="1" applyBorder="1" applyAlignment="1" applyProtection="1">
      <alignment horizontal="center"/>
      <protection locked="0"/>
    </xf>
    <xf numFmtId="0" fontId="10" fillId="0" borderId="0" xfId="0" applyFont="1" applyFill="1" applyBorder="1" applyAlignment="1" applyProtection="1">
      <alignment horizontal="center"/>
    </xf>
    <xf numFmtId="0" fontId="10" fillId="16" borderId="4" xfId="0" applyFont="1" applyFill="1" applyBorder="1" applyAlignment="1" applyProtection="1">
      <alignment horizontal="center"/>
      <protection locked="0"/>
    </xf>
    <xf numFmtId="165" fontId="10" fillId="0" borderId="3" xfId="0" applyNumberFormat="1" applyFont="1" applyFill="1" applyBorder="1" applyAlignment="1" applyProtection="1">
      <alignment horizontal="center"/>
    </xf>
    <xf numFmtId="165" fontId="10" fillId="16" borderId="4" xfId="0" applyNumberFormat="1" applyFont="1" applyFill="1" applyBorder="1" applyAlignment="1" applyProtection="1">
      <alignment horizontal="center"/>
      <protection locked="0"/>
    </xf>
    <xf numFmtId="165" fontId="10" fillId="16" borderId="5" xfId="0" applyNumberFormat="1" applyFont="1" applyFill="1" applyBorder="1" applyAlignment="1" applyProtection="1">
      <alignment horizontal="center"/>
      <protection locked="0"/>
    </xf>
    <xf numFmtId="165" fontId="10" fillId="0" borderId="4" xfId="0" applyNumberFormat="1" applyFont="1" applyFill="1" applyBorder="1" applyAlignment="1" applyProtection="1">
      <alignment horizontal="center"/>
    </xf>
    <xf numFmtId="165" fontId="10" fillId="16" borderId="72" xfId="0" applyNumberFormat="1" applyFont="1" applyFill="1" applyBorder="1" applyAlignment="1" applyProtection="1">
      <alignment horizontal="center"/>
      <protection locked="0"/>
    </xf>
    <xf numFmtId="165" fontId="10" fillId="16" borderId="7" xfId="0" applyNumberFormat="1" applyFont="1" applyFill="1" applyBorder="1" applyAlignment="1" applyProtection="1">
      <alignment horizontal="center"/>
      <protection locked="0"/>
    </xf>
    <xf numFmtId="165" fontId="10" fillId="16" borderId="48" xfId="0" applyNumberFormat="1" applyFont="1" applyFill="1" applyBorder="1" applyAlignment="1" applyProtection="1">
      <alignment horizontal="center"/>
      <protection locked="0"/>
    </xf>
    <xf numFmtId="165" fontId="10" fillId="0" borderId="28" xfId="0" applyNumberFormat="1" applyFont="1" applyFill="1" applyBorder="1" applyAlignment="1" applyProtection="1">
      <alignment horizontal="center"/>
    </xf>
    <xf numFmtId="0" fontId="10" fillId="16" borderId="28" xfId="0" applyFont="1" applyFill="1" applyBorder="1" applyAlignment="1" applyProtection="1">
      <alignment horizontal="center"/>
      <protection locked="0"/>
    </xf>
    <xf numFmtId="165" fontId="10" fillId="0" borderId="31" xfId="0" applyNumberFormat="1" applyFont="1" applyFill="1" applyBorder="1" applyAlignment="1" applyProtection="1">
      <alignment horizontal="center"/>
    </xf>
    <xf numFmtId="165" fontId="10" fillId="16" borderId="29" xfId="0" applyNumberFormat="1" applyFont="1" applyFill="1" applyBorder="1" applyAlignment="1" applyProtection="1">
      <alignment horizontal="center"/>
      <protection locked="0"/>
    </xf>
    <xf numFmtId="165" fontId="10" fillId="16" borderId="71" xfId="0" applyNumberFormat="1" applyFont="1" applyFill="1" applyBorder="1" applyAlignment="1" applyProtection="1">
      <alignment horizontal="center"/>
      <protection locked="0"/>
    </xf>
    <xf numFmtId="0" fontId="0" fillId="15" borderId="0" xfId="0" applyFill="1" applyBorder="1" applyAlignment="1" applyProtection="1">
      <alignment horizontal="center"/>
    </xf>
    <xf numFmtId="0" fontId="5" fillId="0" borderId="0" xfId="0" applyFont="1" applyAlignment="1">
      <alignment horizontal="center"/>
    </xf>
    <xf numFmtId="0" fontId="21" fillId="4" borderId="0" xfId="1" applyFont="1" applyFill="1" applyAlignment="1" applyProtection="1">
      <alignment horizontal="center"/>
    </xf>
    <xf numFmtId="0" fontId="5" fillId="0" borderId="9" xfId="0" applyFont="1" applyBorder="1" applyAlignment="1">
      <alignment horizontal="right"/>
    </xf>
    <xf numFmtId="2" fontId="0" fillId="9" borderId="11" xfId="0" applyNumberFormat="1" applyFill="1" applyBorder="1" applyAlignment="1">
      <alignment horizontal="center" vertical="center"/>
    </xf>
    <xf numFmtId="0" fontId="0" fillId="17" borderId="0" xfId="0"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165" fontId="0" fillId="6" borderId="1" xfId="0" applyNumberFormat="1" applyFill="1" applyBorder="1" applyAlignment="1">
      <alignment horizontal="right" vertical="center"/>
    </xf>
    <xf numFmtId="0" fontId="0" fillId="2" borderId="0" xfId="0" applyFill="1"/>
    <xf numFmtId="0" fontId="0" fillId="0" borderId="4" xfId="0" applyFill="1" applyBorder="1" applyAlignment="1">
      <alignment horizontal="center" vertical="center" wrapText="1"/>
    </xf>
    <xf numFmtId="0" fontId="18" fillId="2" borderId="0" xfId="0" applyFont="1" applyFill="1" applyAlignment="1" applyProtection="1">
      <alignment vertical="center"/>
    </xf>
    <xf numFmtId="0" fontId="5" fillId="2" borderId="0" xfId="0" applyFont="1" applyFill="1" applyBorder="1"/>
    <xf numFmtId="0" fontId="5" fillId="2" borderId="72" xfId="0" applyFont="1" applyFill="1" applyBorder="1" applyAlignment="1">
      <alignment horizontal="center"/>
    </xf>
    <xf numFmtId="0" fontId="5" fillId="2" borderId="48" xfId="0" applyFont="1" applyFill="1" applyBorder="1" applyAlignment="1">
      <alignment horizontal="center"/>
    </xf>
    <xf numFmtId="0" fontId="5" fillId="2" borderId="9" xfId="0" applyFont="1" applyFill="1" applyBorder="1" applyAlignment="1">
      <alignment vertical="top"/>
    </xf>
    <xf numFmtId="0" fontId="5" fillId="2" borderId="70" xfId="0" applyFont="1" applyFill="1" applyBorder="1" applyAlignment="1">
      <alignment horizontal="center"/>
    </xf>
    <xf numFmtId="0" fontId="5" fillId="2" borderId="67" xfId="0" applyFont="1" applyFill="1" applyBorder="1" applyAlignment="1">
      <alignment horizontal="center"/>
    </xf>
    <xf numFmtId="0" fontId="5" fillId="2" borderId="78" xfId="0" applyFont="1" applyFill="1" applyBorder="1"/>
    <xf numFmtId="0" fontId="0" fillId="2" borderId="28" xfId="0" applyFill="1" applyBorder="1"/>
    <xf numFmtId="0" fontId="19" fillId="2" borderId="0" xfId="0" applyFont="1" applyFill="1" applyBorder="1"/>
    <xf numFmtId="0" fontId="0" fillId="6" borderId="1" xfId="0" applyFill="1" applyBorder="1" applyAlignment="1">
      <alignment horizontal="center"/>
    </xf>
    <xf numFmtId="0" fontId="5" fillId="2" borderId="4" xfId="0" applyFont="1" applyFill="1" applyBorder="1" applyAlignment="1">
      <alignment horizontal="center"/>
    </xf>
    <xf numFmtId="0" fontId="0" fillId="2" borderId="48" xfId="0" applyFill="1" applyBorder="1"/>
    <xf numFmtId="0" fontId="0" fillId="2" borderId="27" xfId="0" applyFill="1" applyBorder="1"/>
    <xf numFmtId="0" fontId="0" fillId="2" borderId="71" xfId="0" applyFill="1" applyBorder="1"/>
    <xf numFmtId="0" fontId="5" fillId="2" borderId="26" xfId="0" applyFont="1" applyFill="1" applyBorder="1" applyAlignment="1">
      <alignment vertical="top"/>
    </xf>
    <xf numFmtId="0" fontId="5" fillId="2" borderId="0" xfId="0" applyFont="1" applyFill="1" applyBorder="1" applyAlignment="1">
      <alignment vertical="top"/>
    </xf>
    <xf numFmtId="0" fontId="5" fillId="2" borderId="0" xfId="0" applyFont="1" applyFill="1" applyBorder="1" applyAlignment="1">
      <alignment vertical="top" wrapText="1"/>
    </xf>
    <xf numFmtId="0" fontId="5" fillId="2" borderId="50" xfId="0" applyFont="1" applyFill="1" applyBorder="1" applyAlignment="1">
      <alignment vertical="top" wrapText="1"/>
    </xf>
    <xf numFmtId="0" fontId="5" fillId="2" borderId="9" xfId="0" applyFont="1" applyFill="1" applyBorder="1" applyAlignment="1">
      <alignment vertical="top" wrapText="1"/>
    </xf>
    <xf numFmtId="0" fontId="0" fillId="2" borderId="22" xfId="0" applyFill="1" applyBorder="1"/>
    <xf numFmtId="1" fontId="0" fillId="2" borderId="22" xfId="0" applyNumberFormat="1" applyFill="1" applyBorder="1" applyAlignment="1">
      <alignment horizontal="center"/>
    </xf>
    <xf numFmtId="1" fontId="0" fillId="2" borderId="45" xfId="0" applyNumberFormat="1" applyFill="1" applyBorder="1" applyAlignment="1">
      <alignment horizontal="center"/>
    </xf>
    <xf numFmtId="1" fontId="0" fillId="2" borderId="0" xfId="0" applyNumberFormat="1" applyFill="1" applyBorder="1" applyAlignment="1">
      <alignment horizontal="center"/>
    </xf>
    <xf numFmtId="1" fontId="0" fillId="2" borderId="48" xfId="0" applyNumberFormat="1" applyFill="1" applyBorder="1" applyAlignment="1">
      <alignment horizontal="center"/>
    </xf>
    <xf numFmtId="0" fontId="5" fillId="2" borderId="22" xfId="0" applyFont="1" applyFill="1" applyBorder="1" applyAlignment="1">
      <alignment horizontal="center"/>
    </xf>
    <xf numFmtId="0" fontId="5" fillId="2" borderId="45" xfId="0" applyFont="1" applyFill="1" applyBorder="1" applyAlignment="1">
      <alignment horizontal="center"/>
    </xf>
    <xf numFmtId="0" fontId="0" fillId="2" borderId="45" xfId="0" applyFill="1" applyBorder="1"/>
    <xf numFmtId="0" fontId="0" fillId="2" borderId="50" xfId="0" applyFill="1" applyBorder="1"/>
    <xf numFmtId="0" fontId="0" fillId="2" borderId="4" xfId="0" applyFill="1" applyBorder="1"/>
    <xf numFmtId="0" fontId="0" fillId="2" borderId="70" xfId="0" applyFill="1" applyBorder="1"/>
    <xf numFmtId="0" fontId="0" fillId="2" borderId="9" xfId="0" applyFill="1" applyBorder="1"/>
    <xf numFmtId="0" fontId="0" fillId="2" borderId="51" xfId="0" applyFill="1" applyBorder="1"/>
    <xf numFmtId="0" fontId="0" fillId="2" borderId="0" xfId="0" applyFill="1" applyBorder="1" applyAlignment="1"/>
    <xf numFmtId="0" fontId="0" fillId="2" borderId="48" xfId="0" applyFill="1" applyBorder="1" applyAlignment="1"/>
    <xf numFmtId="0" fontId="0" fillId="2" borderId="72" xfId="0" applyFill="1" applyBorder="1"/>
    <xf numFmtId="0" fontId="0" fillId="2" borderId="28" xfId="0" applyFill="1" applyBorder="1" applyAlignment="1"/>
    <xf numFmtId="0" fontId="0" fillId="2" borderId="71" xfId="0" applyFill="1" applyBorder="1" applyAlignment="1"/>
    <xf numFmtId="0" fontId="0" fillId="0" borderId="0" xfId="0" applyFill="1" applyAlignment="1">
      <alignment horizontal="right"/>
    </xf>
    <xf numFmtId="0" fontId="0" fillId="9" borderId="0" xfId="0" applyFill="1" applyBorder="1" applyProtection="1"/>
    <xf numFmtId="1" fontId="5" fillId="4" borderId="0" xfId="0" applyNumberFormat="1" applyFont="1" applyFill="1" applyBorder="1"/>
    <xf numFmtId="0" fontId="0" fillId="0" borderId="4" xfId="0" applyFill="1" applyBorder="1" applyAlignment="1">
      <alignment horizontal="right"/>
    </xf>
    <xf numFmtId="0" fontId="0" fillId="16" borderId="4" xfId="0" applyFill="1" applyBorder="1" applyProtection="1">
      <protection locked="0"/>
    </xf>
    <xf numFmtId="0" fontId="0" fillId="0" borderId="0" xfId="0" applyFill="1" applyBorder="1" applyAlignment="1">
      <alignment horizontal="right"/>
    </xf>
    <xf numFmtId="0" fontId="0" fillId="16" borderId="0" xfId="0" applyFill="1" applyBorder="1" applyProtection="1">
      <protection locked="0"/>
    </xf>
    <xf numFmtId="0" fontId="0" fillId="0" borderId="9" xfId="0" applyFill="1" applyBorder="1" applyAlignment="1">
      <alignment horizontal="right"/>
    </xf>
    <xf numFmtId="0" fontId="0" fillId="16" borderId="9" xfId="0" applyFill="1" applyBorder="1" applyProtection="1">
      <protection locked="0"/>
    </xf>
    <xf numFmtId="166" fontId="0" fillId="16" borderId="0" xfId="0" applyNumberFormat="1" applyFill="1" applyBorder="1" applyAlignment="1" applyProtection="1">
      <alignment horizontal="center"/>
      <protection locked="0"/>
    </xf>
    <xf numFmtId="0" fontId="0" fillId="0" borderId="0" xfId="0" quotePrefix="1" applyAlignment="1">
      <alignment horizontal="left" indent="2"/>
    </xf>
    <xf numFmtId="0" fontId="0" fillId="0" borderId="15" xfId="0" applyFill="1" applyBorder="1"/>
    <xf numFmtId="0" fontId="10" fillId="2" borderId="0" xfId="0" applyFont="1" applyFill="1" applyAlignment="1">
      <alignment horizontal="left" vertical="center"/>
    </xf>
    <xf numFmtId="0" fontId="0" fillId="4" borderId="0" xfId="0" applyFill="1" applyAlignment="1">
      <alignment vertical="center"/>
    </xf>
    <xf numFmtId="0" fontId="7" fillId="2" borderId="0" xfId="0" applyFont="1" applyFill="1" applyAlignment="1">
      <alignment horizontal="right" indent="1"/>
    </xf>
    <xf numFmtId="0" fontId="0" fillId="4" borderId="1" xfId="0" applyFill="1" applyBorder="1" applyAlignment="1" applyProtection="1">
      <alignment horizontal="center" vertical="center"/>
    </xf>
    <xf numFmtId="0" fontId="0" fillId="0" borderId="9" xfId="0" applyFill="1" applyBorder="1" applyAlignment="1">
      <alignment horizontal="center"/>
    </xf>
    <xf numFmtId="0" fontId="0" fillId="0" borderId="106" xfId="0" applyBorder="1" applyProtection="1"/>
    <xf numFmtId="168" fontId="0" fillId="0" borderId="34" xfId="0" applyNumberFormat="1" applyBorder="1" applyAlignment="1" applyProtection="1">
      <alignment horizontal="center"/>
    </xf>
    <xf numFmtId="168" fontId="0" fillId="0" borderId="35" xfId="0" applyNumberFormat="1" applyBorder="1" applyAlignment="1" applyProtection="1">
      <alignment horizontal="center"/>
    </xf>
    <xf numFmtId="168" fontId="0" fillId="0" borderId="36" xfId="0" applyNumberFormat="1" applyBorder="1" applyAlignment="1" applyProtection="1">
      <alignment horizontal="center"/>
    </xf>
    <xf numFmtId="168" fontId="0" fillId="0" borderId="68" xfId="0" applyNumberFormat="1" applyBorder="1" applyAlignment="1" applyProtection="1">
      <alignment horizontal="center"/>
    </xf>
    <xf numFmtId="4" fontId="0" fillId="9" borderId="34" xfId="0" applyNumberFormat="1" applyFill="1" applyBorder="1" applyAlignment="1" applyProtection="1">
      <alignment horizontal="center"/>
    </xf>
    <xf numFmtId="4" fontId="0" fillId="0" borderId="35" xfId="0" applyNumberFormat="1" applyBorder="1" applyAlignment="1" applyProtection="1">
      <alignment horizontal="center"/>
    </xf>
    <xf numFmtId="4" fontId="0" fillId="9" borderId="36" xfId="0" applyNumberFormat="1" applyFill="1" applyBorder="1" applyAlignment="1" applyProtection="1">
      <alignment horizontal="center"/>
    </xf>
    <xf numFmtId="4" fontId="0" fillId="0" borderId="37" xfId="0" applyNumberFormat="1" applyBorder="1" applyAlignment="1" applyProtection="1">
      <alignment horizontal="center"/>
    </xf>
    <xf numFmtId="4" fontId="0" fillId="0" borderId="68" xfId="0" applyNumberFormat="1" applyBorder="1" applyAlignment="1" applyProtection="1">
      <alignment horizontal="center"/>
    </xf>
    <xf numFmtId="4" fontId="0" fillId="16" borderId="34" xfId="0" applyNumberFormat="1" applyFill="1" applyBorder="1" applyAlignment="1" applyProtection="1">
      <alignment horizontal="center"/>
      <protection locked="0"/>
    </xf>
    <xf numFmtId="4" fontId="0" fillId="16" borderId="36" xfId="0" applyNumberFormat="1" applyFill="1" applyBorder="1" applyAlignment="1" applyProtection="1">
      <alignment horizontal="center"/>
      <protection locked="0"/>
    </xf>
    <xf numFmtId="0" fontId="6" fillId="2" borderId="0" xfId="0" applyFont="1" applyFill="1" applyAlignment="1">
      <alignment horizontal="left"/>
    </xf>
    <xf numFmtId="0" fontId="0" fillId="2" borderId="0" xfId="0" applyFill="1" applyAlignment="1">
      <alignment horizontal="center" vertical="top"/>
    </xf>
    <xf numFmtId="0" fontId="0" fillId="2" borderId="7" xfId="0" applyFill="1" applyBorder="1" applyAlignment="1">
      <alignment vertical="center"/>
    </xf>
    <xf numFmtId="0" fontId="0" fillId="2" borderId="10" xfId="0" applyFill="1" applyBorder="1" applyAlignment="1">
      <alignment vertical="center"/>
    </xf>
    <xf numFmtId="0" fontId="0" fillId="15" borderId="0" xfId="0" applyFill="1" applyBorder="1" applyAlignment="1">
      <alignment vertical="top" wrapText="1"/>
    </xf>
    <xf numFmtId="0" fontId="0" fillId="15" borderId="6" xfId="0" applyFill="1" applyBorder="1" applyAlignment="1">
      <alignment vertical="top" wrapText="1"/>
    </xf>
    <xf numFmtId="0" fontId="0" fillId="0" borderId="103" xfId="0" applyFill="1" applyBorder="1" applyAlignment="1">
      <alignment horizontal="center"/>
    </xf>
    <xf numFmtId="0" fontId="0" fillId="0" borderId="10" xfId="0" applyFill="1" applyBorder="1" applyAlignment="1">
      <alignment horizontal="center"/>
    </xf>
    <xf numFmtId="0" fontId="0" fillId="0" borderId="104" xfId="0" applyFill="1" applyBorder="1" applyAlignment="1">
      <alignment horizontal="center"/>
    </xf>
    <xf numFmtId="0" fontId="20" fillId="2" borderId="0" xfId="0" applyFont="1" applyFill="1" applyBorder="1" applyAlignment="1">
      <alignment horizontal="center"/>
    </xf>
    <xf numFmtId="0" fontId="25" fillId="2" borderId="0" xfId="0" applyFont="1" applyFill="1" applyAlignment="1">
      <alignment horizontal="right" vertical="center"/>
    </xf>
    <xf numFmtId="0" fontId="25" fillId="2" borderId="0" xfId="0" applyFont="1" applyFill="1" applyAlignment="1">
      <alignment horizontal="left" vertical="center"/>
    </xf>
    <xf numFmtId="0" fontId="25" fillId="2" borderId="0" xfId="0" applyFont="1" applyFill="1" applyAlignment="1">
      <alignment vertical="center"/>
    </xf>
    <xf numFmtId="0" fontId="25" fillId="0" borderId="0" xfId="0" applyFont="1" applyAlignment="1">
      <alignment vertical="center"/>
    </xf>
    <xf numFmtId="0" fontId="26" fillId="2" borderId="0" xfId="0" applyFont="1" applyFill="1" applyAlignment="1">
      <alignment vertical="center"/>
    </xf>
    <xf numFmtId="0" fontId="25" fillId="2" borderId="0" xfId="0" applyFont="1" applyFill="1" applyAlignment="1">
      <alignment horizontal="center" vertical="center"/>
    </xf>
    <xf numFmtId="0" fontId="15" fillId="2" borderId="0" xfId="0" applyFont="1" applyFill="1" applyAlignment="1">
      <alignment vertical="center"/>
    </xf>
    <xf numFmtId="0" fontId="25" fillId="2" borderId="0" xfId="0" applyFont="1" applyFill="1" applyBorder="1" applyAlignment="1">
      <alignment horizontal="left" vertical="center"/>
    </xf>
    <xf numFmtId="0" fontId="0" fillId="15" borderId="10" xfId="0" applyFill="1" applyBorder="1"/>
    <xf numFmtId="8" fontId="21" fillId="4" borderId="0" xfId="1" applyNumberFormat="1" applyFont="1" applyFill="1" applyAlignment="1" applyProtection="1">
      <alignment horizontal="center"/>
    </xf>
    <xf numFmtId="0" fontId="3" fillId="2" borderId="0" xfId="0" applyFont="1" applyFill="1" applyAlignment="1">
      <alignment vertical="center"/>
    </xf>
    <xf numFmtId="0" fontId="5" fillId="0" borderId="0" xfId="0" applyFont="1" applyFill="1" applyBorder="1" applyAlignment="1">
      <alignment horizontal="center" vertical="center"/>
    </xf>
    <xf numFmtId="0" fontId="0" fillId="0" borderId="0" xfId="0" applyFill="1" applyBorder="1" applyAlignment="1" applyProtection="1">
      <alignment vertical="center"/>
      <protection locked="0"/>
    </xf>
    <xf numFmtId="0" fontId="0" fillId="2" borderId="0" xfId="0" applyFill="1" applyAlignment="1">
      <alignment horizontal="right"/>
    </xf>
    <xf numFmtId="3" fontId="0" fillId="6" borderId="1" xfId="0" applyNumberFormat="1" applyFill="1" applyBorder="1"/>
    <xf numFmtId="0" fontId="12" fillId="2" borderId="0" xfId="0" applyFont="1" applyFill="1"/>
    <xf numFmtId="0" fontId="5" fillId="2" borderId="0" xfId="0" applyFont="1" applyFill="1"/>
    <xf numFmtId="0" fontId="0" fillId="2" borderId="0" xfId="0" applyFill="1" applyAlignment="1">
      <alignment horizontal="center"/>
    </xf>
    <xf numFmtId="0" fontId="0" fillId="5" borderId="1" xfId="0" applyFill="1" applyBorder="1" applyAlignment="1" applyProtection="1">
      <alignment horizontal="center"/>
      <protection locked="0"/>
    </xf>
    <xf numFmtId="3" fontId="0" fillId="6" borderId="1" xfId="0" applyNumberFormat="1" applyFill="1" applyBorder="1" applyAlignment="1">
      <alignment horizontal="center"/>
    </xf>
    <xf numFmtId="0" fontId="6" fillId="2" borderId="0" xfId="0" applyFont="1" applyFill="1"/>
    <xf numFmtId="0" fontId="6" fillId="2" borderId="0" xfId="0" applyFont="1" applyFill="1" applyAlignment="1">
      <alignment horizontal="right"/>
    </xf>
    <xf numFmtId="0" fontId="0" fillId="0" borderId="0" xfId="0" quotePrefix="1"/>
    <xf numFmtId="0" fontId="0" fillId="4" borderId="0" xfId="0" applyFill="1" applyBorder="1" applyAlignment="1">
      <alignment horizontal="left"/>
    </xf>
    <xf numFmtId="0" fontId="0" fillId="4" borderId="0" xfId="0" quotePrefix="1" applyFill="1"/>
    <xf numFmtId="1" fontId="0" fillId="0" borderId="0" xfId="0" applyNumberFormat="1"/>
    <xf numFmtId="0" fontId="0" fillId="4" borderId="9" xfId="0" applyFill="1" applyBorder="1" applyAlignment="1">
      <alignment horizontal="left" vertical="center"/>
    </xf>
    <xf numFmtId="0" fontId="0" fillId="4" borderId="9" xfId="0" applyFill="1" applyBorder="1"/>
    <xf numFmtId="2" fontId="0" fillId="9" borderId="0" xfId="0" applyNumberFormat="1" applyFill="1" applyBorder="1" applyAlignment="1" applyProtection="1">
      <alignment horizontal="center"/>
    </xf>
    <xf numFmtId="0" fontId="0" fillId="15" borderId="0" xfId="0" applyFill="1" applyBorder="1" applyAlignment="1">
      <alignment horizontal="left"/>
    </xf>
    <xf numFmtId="0" fontId="7" fillId="2" borderId="0" xfId="0" applyFont="1" applyFill="1"/>
    <xf numFmtId="0" fontId="23" fillId="2" borderId="0" xfId="0" applyFont="1" applyFill="1"/>
    <xf numFmtId="3" fontId="0" fillId="0" borderId="0" xfId="0" applyNumberFormat="1"/>
    <xf numFmtId="3" fontId="0" fillId="4" borderId="0" xfId="0" applyNumberFormat="1" applyFill="1"/>
    <xf numFmtId="0" fontId="10" fillId="2" borderId="0" xfId="0" applyFont="1" applyFill="1" applyAlignment="1">
      <alignment horizontal="center"/>
    </xf>
    <xf numFmtId="168" fontId="0" fillId="4" borderId="0" xfId="0" applyNumberFormat="1" applyFill="1"/>
    <xf numFmtId="0" fontId="11" fillId="2" borderId="0" xfId="0" applyFont="1" applyFill="1" applyAlignment="1">
      <alignment horizontal="center"/>
    </xf>
    <xf numFmtId="0" fontId="5" fillId="2" borderId="0" xfId="0" applyFont="1" applyFill="1" applyAlignment="1">
      <alignment horizontal="center" wrapText="1"/>
    </xf>
    <xf numFmtId="0" fontId="0" fillId="0" borderId="0" xfId="0" applyFill="1" applyAlignment="1">
      <alignment horizontal="left" vertical="center"/>
    </xf>
    <xf numFmtId="0" fontId="6" fillId="0" borderId="0" xfId="0" applyFont="1" applyFill="1" applyAlignment="1">
      <alignment horizontal="left" vertical="center"/>
    </xf>
    <xf numFmtId="0" fontId="5" fillId="4" borderId="0" xfId="0" applyFont="1" applyFill="1"/>
    <xf numFmtId="0" fontId="16" fillId="2" borderId="0" xfId="0" applyFont="1" applyFill="1"/>
    <xf numFmtId="0" fontId="6" fillId="2" borderId="0" xfId="0" applyFont="1" applyFill="1" applyAlignment="1">
      <alignment horizontal="center"/>
    </xf>
    <xf numFmtId="0" fontId="10" fillId="2" borderId="0" xfId="0" applyFont="1" applyFill="1"/>
    <xf numFmtId="3" fontId="0" fillId="6" borderId="1" xfId="0" applyNumberFormat="1" applyFill="1" applyBorder="1" applyAlignment="1">
      <alignment horizontal="right"/>
    </xf>
    <xf numFmtId="0" fontId="24" fillId="2" borderId="0" xfId="0" applyFont="1" applyFill="1"/>
    <xf numFmtId="0" fontId="0" fillId="2" borderId="0" xfId="0" applyFill="1" applyAlignment="1">
      <alignment horizontal="left" indent="2"/>
    </xf>
    <xf numFmtId="3" fontId="7" fillId="6" borderId="1" xfId="0" applyNumberFormat="1" applyFont="1" applyFill="1" applyBorder="1" applyAlignment="1">
      <alignment horizontal="right"/>
    </xf>
    <xf numFmtId="0" fontId="0" fillId="9" borderId="0" xfId="0" applyFill="1" applyAlignment="1">
      <alignment horizontal="right"/>
    </xf>
    <xf numFmtId="3" fontId="0" fillId="0" borderId="9" xfId="0" applyNumberFormat="1" applyBorder="1" applyAlignment="1" applyProtection="1">
      <alignment horizontal="center"/>
    </xf>
    <xf numFmtId="3" fontId="0" fillId="0" borderId="38" xfId="0" applyNumberFormat="1" applyBorder="1" applyAlignment="1" applyProtection="1">
      <alignment horizontal="center"/>
    </xf>
    <xf numFmtId="3" fontId="0" fillId="0" borderId="69" xfId="0" applyNumberFormat="1" applyBorder="1" applyAlignment="1" applyProtection="1">
      <alignment horizontal="center"/>
    </xf>
    <xf numFmtId="3" fontId="0" fillId="0" borderId="10" xfId="0" applyNumberFormat="1" applyBorder="1" applyAlignment="1" applyProtection="1">
      <alignment horizontal="center"/>
    </xf>
    <xf numFmtId="0" fontId="0" fillId="12" borderId="6" xfId="0" applyFill="1" applyBorder="1" applyAlignment="1">
      <alignment horizontal="right"/>
    </xf>
    <xf numFmtId="0" fontId="0" fillId="12" borderId="0" xfId="0" applyFill="1" applyBorder="1" applyAlignment="1">
      <alignment horizontal="right"/>
    </xf>
    <xf numFmtId="0" fontId="0" fillId="12" borderId="7" xfId="0" applyFill="1" applyBorder="1" applyAlignment="1">
      <alignment horizontal="right"/>
    </xf>
    <xf numFmtId="0" fontId="0" fillId="12" borderId="6" xfId="0" applyFill="1" applyBorder="1"/>
    <xf numFmtId="0" fontId="0" fillId="12" borderId="0" xfId="0" applyFill="1" applyBorder="1"/>
    <xf numFmtId="0" fontId="0" fillId="12" borderId="7" xfId="0" applyFill="1" applyBorder="1"/>
    <xf numFmtId="0" fontId="0" fillId="12" borderId="8" xfId="0" applyFill="1" applyBorder="1"/>
    <xf numFmtId="0" fontId="0" fillId="12" borderId="9" xfId="0" applyFill="1" applyBorder="1"/>
    <xf numFmtId="0" fontId="0" fillId="12" borderId="10" xfId="0" applyFill="1" applyBorder="1"/>
    <xf numFmtId="3" fontId="0" fillId="2" borderId="0" xfId="0" applyNumberFormat="1" applyFill="1" applyAlignment="1">
      <alignment horizontal="left" vertical="center"/>
    </xf>
    <xf numFmtId="3" fontId="0" fillId="2" borderId="0" xfId="0" applyNumberFormat="1" applyFill="1"/>
    <xf numFmtId="3" fontId="11" fillId="2" borderId="0" xfId="0" applyNumberFormat="1" applyFont="1" applyFill="1" applyAlignment="1">
      <alignment horizontal="center"/>
    </xf>
    <xf numFmtId="0" fontId="0" fillId="9" borderId="0" xfId="0" applyNumberFormat="1" applyFill="1"/>
    <xf numFmtId="0" fontId="0" fillId="4" borderId="0" xfId="0" applyNumberFormat="1" applyFill="1"/>
    <xf numFmtId="0" fontId="0" fillId="16" borderId="0" xfId="0" applyFill="1" applyAlignment="1" applyProtection="1">
      <alignment horizontal="right"/>
      <protection locked="0"/>
    </xf>
    <xf numFmtId="0" fontId="0" fillId="9" borderId="6" xfId="0" applyFill="1" applyBorder="1"/>
    <xf numFmtId="0" fontId="0" fillId="9" borderId="7" xfId="0" applyFill="1" applyBorder="1"/>
    <xf numFmtId="0" fontId="0" fillId="9" borderId="8" xfId="0" applyFill="1" applyBorder="1"/>
    <xf numFmtId="0" fontId="0" fillId="9" borderId="10" xfId="0" applyFill="1" applyBorder="1"/>
    <xf numFmtId="0" fontId="0" fillId="16" borderId="7" xfId="0" applyFill="1" applyBorder="1" applyProtection="1">
      <protection locked="0"/>
    </xf>
    <xf numFmtId="0" fontId="0" fillId="16" borderId="10" xfId="0" applyFill="1" applyBorder="1" applyProtection="1">
      <protection locked="0"/>
    </xf>
    <xf numFmtId="0" fontId="5" fillId="13" borderId="0" xfId="0" applyFont="1" applyFill="1" applyBorder="1" applyAlignment="1"/>
    <xf numFmtId="0" fontId="11" fillId="2" borderId="0" xfId="0" applyFont="1" applyFill="1" applyAlignment="1">
      <alignment horizontal="left" vertical="center"/>
    </xf>
    <xf numFmtId="0" fontId="11" fillId="4" borderId="0" xfId="0" applyFont="1" applyFill="1"/>
    <xf numFmtId="0" fontId="11" fillId="9" borderId="0" xfId="0" applyFont="1" applyFill="1"/>
    <xf numFmtId="0" fontId="28" fillId="2" borderId="0" xfId="0" applyFont="1" applyFill="1"/>
    <xf numFmtId="0" fontId="5" fillId="2" borderId="0" xfId="0" applyFont="1" applyFill="1" applyAlignment="1">
      <alignment horizontal="right"/>
    </xf>
    <xf numFmtId="3" fontId="5" fillId="6" borderId="1" xfId="0" applyNumberFormat="1" applyFont="1" applyFill="1" applyBorder="1" applyAlignment="1">
      <alignment horizontal="right"/>
    </xf>
    <xf numFmtId="0" fontId="11" fillId="2" borderId="0" xfId="0" applyFont="1" applyFill="1" applyAlignment="1">
      <alignment horizontal="right"/>
    </xf>
    <xf numFmtId="0" fontId="0" fillId="2" borderId="0" xfId="0" applyFill="1" applyBorder="1" applyAlignment="1">
      <alignment horizontal="center" vertical="center"/>
    </xf>
    <xf numFmtId="0" fontId="0" fillId="0" borderId="0" xfId="0" applyBorder="1" applyProtection="1"/>
    <xf numFmtId="0" fontId="0" fillId="4" borderId="0" xfId="0" applyFill="1" applyAlignment="1">
      <alignment horizontal="center"/>
    </xf>
    <xf numFmtId="0" fontId="6" fillId="2" borderId="0" xfId="0" quotePrefix="1" applyFont="1" applyFill="1" applyBorder="1" applyAlignment="1">
      <alignment horizontal="left" vertical="center"/>
    </xf>
    <xf numFmtId="0" fontId="6" fillId="0" borderId="0" xfId="0" quotePrefix="1" applyFont="1" applyAlignment="1">
      <alignment horizontal="left" indent="2"/>
    </xf>
    <xf numFmtId="0" fontId="6" fillId="2" borderId="0" xfId="0" applyFont="1" applyFill="1" applyBorder="1" applyAlignment="1">
      <alignment horizontal="left" vertical="center"/>
    </xf>
    <xf numFmtId="0" fontId="30" fillId="2" borderId="0" xfId="0" applyFont="1" applyFill="1"/>
    <xf numFmtId="0" fontId="0" fillId="18" borderId="0" xfId="0" applyFill="1"/>
    <xf numFmtId="0" fontId="0" fillId="19" borderId="2" xfId="0" applyFont="1" applyFill="1" applyBorder="1"/>
    <xf numFmtId="0" fontId="0" fillId="19" borderId="11" xfId="0" applyFill="1" applyBorder="1"/>
    <xf numFmtId="0" fontId="0" fillId="19" borderId="12" xfId="0" applyFill="1" applyBorder="1"/>
    <xf numFmtId="0" fontId="32" fillId="0" borderId="0" xfId="0" applyFont="1" applyAlignment="1">
      <alignment horizontal="right"/>
    </xf>
    <xf numFmtId="0" fontId="0" fillId="20" borderId="0" xfId="0" applyFill="1"/>
    <xf numFmtId="0" fontId="33" fillId="2" borderId="0" xfId="0" applyFont="1" applyFill="1" applyAlignment="1">
      <alignment vertical="top" wrapText="1"/>
    </xf>
    <xf numFmtId="0" fontId="0" fillId="0" borderId="0" xfId="0" applyBorder="1"/>
    <xf numFmtId="0" fontId="6" fillId="0" borderId="0" xfId="0" applyFont="1"/>
    <xf numFmtId="0" fontId="6" fillId="4" borderId="0" xfId="0" applyFont="1" applyFill="1"/>
    <xf numFmtId="0" fontId="4" fillId="0" borderId="0" xfId="1" applyBorder="1" applyAlignment="1" applyProtection="1">
      <alignment horizontal="center"/>
    </xf>
    <xf numFmtId="0" fontId="6" fillId="0" borderId="13" xfId="0" applyFont="1" applyBorder="1" applyAlignment="1">
      <alignment horizontal="center"/>
    </xf>
    <xf numFmtId="0" fontId="6" fillId="0" borderId="47" xfId="0" applyFont="1" applyBorder="1" applyAlignment="1">
      <alignment horizontal="center"/>
    </xf>
    <xf numFmtId="0" fontId="0" fillId="16" borderId="49" xfId="0" applyFill="1" applyBorder="1" applyAlignment="1" applyProtection="1">
      <alignment horizontal="center"/>
      <protection locked="0"/>
    </xf>
    <xf numFmtId="0" fontId="0" fillId="0" borderId="32" xfId="0" applyBorder="1" applyAlignment="1" applyProtection="1">
      <alignment horizontal="center"/>
    </xf>
    <xf numFmtId="0" fontId="5" fillId="2" borderId="32" xfId="0" applyFont="1" applyFill="1" applyBorder="1" applyAlignment="1">
      <alignment vertical="top"/>
    </xf>
    <xf numFmtId="0" fontId="5" fillId="2" borderId="22" xfId="0" applyFont="1" applyFill="1" applyBorder="1" applyAlignment="1">
      <alignment vertical="top"/>
    </xf>
    <xf numFmtId="0" fontId="0" fillId="2" borderId="0" xfId="0" applyFill="1" applyBorder="1"/>
    <xf numFmtId="0" fontId="0" fillId="2" borderId="26" xfId="0" applyFill="1" applyBorder="1"/>
    <xf numFmtId="0" fontId="0" fillId="0" borderId="0" xfId="0" applyBorder="1" applyProtection="1"/>
    <xf numFmtId="0" fontId="0" fillId="0" borderId="0" xfId="0" applyBorder="1" applyProtection="1"/>
    <xf numFmtId="0" fontId="6" fillId="20" borderId="0" xfId="0" applyFont="1" applyFill="1" applyAlignment="1">
      <alignment vertical="center"/>
    </xf>
    <xf numFmtId="4" fontId="0" fillId="0" borderId="26" xfId="0" applyNumberFormat="1" applyFill="1" applyBorder="1" applyAlignment="1" applyProtection="1">
      <alignment horizontal="center"/>
    </xf>
    <xf numFmtId="4" fontId="0" fillId="0" borderId="0" xfId="0" applyNumberFormat="1" applyFill="1" applyBorder="1" applyAlignment="1" applyProtection="1">
      <alignment horizontal="center"/>
    </xf>
    <xf numFmtId="4" fontId="0" fillId="0" borderId="6" xfId="0" applyNumberFormat="1" applyFill="1" applyBorder="1" applyAlignment="1" applyProtection="1">
      <alignment horizontal="center"/>
    </xf>
    <xf numFmtId="4" fontId="0" fillId="0" borderId="7" xfId="0" applyNumberFormat="1" applyFill="1" applyBorder="1" applyAlignment="1" applyProtection="1">
      <alignment horizontal="center"/>
    </xf>
    <xf numFmtId="4" fontId="0" fillId="0" borderId="27" xfId="0" applyNumberFormat="1" applyFill="1" applyBorder="1" applyAlignment="1" applyProtection="1">
      <alignment horizontal="center"/>
    </xf>
    <xf numFmtId="4" fontId="0" fillId="0" borderId="28" xfId="0" applyNumberFormat="1" applyFill="1" applyBorder="1" applyAlignment="1" applyProtection="1">
      <alignment horizontal="center"/>
    </xf>
    <xf numFmtId="4" fontId="0" fillId="0" borderId="31" xfId="0" applyNumberFormat="1" applyFill="1" applyBorder="1" applyAlignment="1" applyProtection="1">
      <alignment horizontal="center"/>
    </xf>
    <xf numFmtId="4" fontId="0" fillId="0" borderId="29" xfId="0" applyNumberFormat="1" applyFill="1" applyBorder="1" applyAlignment="1" applyProtection="1">
      <alignment horizontal="center"/>
    </xf>
    <xf numFmtId="168" fontId="6" fillId="0" borderId="0" xfId="0" applyNumberFormat="1" applyFont="1" applyBorder="1" applyAlignment="1" applyProtection="1"/>
    <xf numFmtId="0" fontId="36" fillId="0" borderId="0" xfId="0" applyFont="1"/>
    <xf numFmtId="0" fontId="12" fillId="0" borderId="0" xfId="0" applyFont="1"/>
    <xf numFmtId="0" fontId="0" fillId="0" borderId="0" xfId="0" applyFont="1" applyFill="1" applyBorder="1" applyProtection="1"/>
    <xf numFmtId="0" fontId="6" fillId="0" borderId="94" xfId="0" applyFont="1" applyBorder="1" applyProtection="1"/>
    <xf numFmtId="0" fontId="6" fillId="0" borderId="95" xfId="0" applyFont="1" applyBorder="1" applyProtection="1"/>
    <xf numFmtId="0" fontId="6" fillId="0" borderId="97" xfId="0" applyFont="1" applyBorder="1" applyProtection="1"/>
    <xf numFmtId="0" fontId="0" fillId="22" borderId="0" xfId="0" applyFill="1"/>
    <xf numFmtId="0" fontId="0" fillId="23" borderId="0" xfId="0" applyFill="1"/>
    <xf numFmtId="2" fontId="0" fillId="24" borderId="0" xfId="0" applyNumberFormat="1" applyFill="1" applyProtection="1">
      <protection locked="0"/>
    </xf>
    <xf numFmtId="2" fontId="0" fillId="0" borderId="0" xfId="0" applyNumberFormat="1"/>
    <xf numFmtId="2" fontId="0" fillId="0" borderId="0" xfId="0" applyNumberFormat="1" applyProtection="1"/>
    <xf numFmtId="2" fontId="0" fillId="21" borderId="0" xfId="0" applyNumberFormat="1" applyFill="1" applyProtection="1"/>
    <xf numFmtId="0" fontId="6" fillId="16" borderId="0" xfId="0" applyFont="1" applyFill="1" applyAlignment="1" applyProtection="1">
      <alignment horizontal="center"/>
      <protection locked="0"/>
    </xf>
    <xf numFmtId="0" fontId="6" fillId="0" borderId="0" xfId="0" applyFont="1" applyAlignment="1">
      <alignment horizontal="center"/>
    </xf>
    <xf numFmtId="0" fontId="0" fillId="0" borderId="3" xfId="0" applyBorder="1" applyAlignment="1" applyProtection="1">
      <alignment vertical="center"/>
    </xf>
    <xf numFmtId="0" fontId="0" fillId="0" borderId="4" xfId="0" applyBorder="1" applyAlignment="1" applyProtection="1">
      <alignment vertical="center"/>
    </xf>
    <xf numFmtId="167" fontId="0" fillId="24" borderId="0" xfId="0" applyNumberFormat="1" applyFill="1" applyProtection="1">
      <protection locked="0"/>
    </xf>
    <xf numFmtId="167" fontId="0" fillId="24" borderId="0" xfId="0" applyNumberFormat="1" applyFill="1"/>
    <xf numFmtId="167" fontId="0" fillId="21" borderId="0" xfId="0" applyNumberFormat="1" applyFill="1" applyProtection="1"/>
    <xf numFmtId="0" fontId="0" fillId="2" borderId="6" xfId="0" applyFill="1" applyBorder="1" applyAlignment="1">
      <alignment horizontal="left" vertical="top"/>
    </xf>
    <xf numFmtId="0" fontId="0" fillId="26" borderId="1" xfId="0" applyFill="1" applyBorder="1" applyAlignment="1" applyProtection="1">
      <alignment horizontal="center" vertical="center"/>
    </xf>
    <xf numFmtId="0" fontId="0" fillId="2" borderId="0" xfId="0" applyFill="1" applyBorder="1" applyAlignment="1">
      <alignment horizontal="center" vertical="center"/>
    </xf>
    <xf numFmtId="0" fontId="0" fillId="2" borderId="0" xfId="0" applyFill="1" applyAlignment="1">
      <alignment horizontal="right" vertical="center"/>
    </xf>
    <xf numFmtId="0" fontId="0" fillId="0" borderId="0" xfId="0" applyBorder="1"/>
    <xf numFmtId="0" fontId="0" fillId="2" borderId="0" xfId="0" applyFill="1" applyBorder="1"/>
    <xf numFmtId="0" fontId="0" fillId="2" borderId="28" xfId="0" applyFill="1" applyBorder="1"/>
    <xf numFmtId="0" fontId="0" fillId="2" borderId="26" xfId="0" applyFill="1" applyBorder="1"/>
    <xf numFmtId="0" fontId="0" fillId="4" borderId="0" xfId="0" applyFill="1" applyAlignment="1">
      <alignment horizontal="center"/>
    </xf>
    <xf numFmtId="0" fontId="0" fillId="22" borderId="0" xfId="0" applyFill="1" applyAlignment="1" applyProtection="1">
      <alignment vertical="center"/>
    </xf>
    <xf numFmtId="0" fontId="5" fillId="23" borderId="3" xfId="0" applyFont="1" applyFill="1" applyBorder="1"/>
    <xf numFmtId="0" fontId="0" fillId="0" borderId="5" xfId="0" applyBorder="1" applyAlignment="1" applyProtection="1">
      <alignment vertical="center"/>
    </xf>
    <xf numFmtId="0" fontId="0" fillId="0" borderId="0" xfId="0" applyAlignment="1" applyProtection="1">
      <alignment horizontal="center" vertical="center"/>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21" borderId="6" xfId="0" applyFill="1" applyBorder="1" applyAlignment="1" applyProtection="1">
      <alignment horizontal="center" vertical="center"/>
    </xf>
    <xf numFmtId="0" fontId="0" fillId="21" borderId="0" xfId="0" applyFill="1" applyBorder="1" applyAlignment="1" applyProtection="1">
      <alignment horizontal="center" vertical="center"/>
    </xf>
    <xf numFmtId="0" fontId="0" fillId="21" borderId="7" xfId="0" applyFill="1" applyBorder="1" applyAlignment="1" applyProtection="1">
      <alignment horizontal="center" vertical="center"/>
    </xf>
    <xf numFmtId="0" fontId="0" fillId="0" borderId="6" xfId="0" applyBorder="1" applyAlignment="1" applyProtection="1">
      <alignment horizontal="center" vertical="center"/>
    </xf>
    <xf numFmtId="0" fontId="0" fillId="0" borderId="0" xfId="0" applyBorder="1" applyAlignment="1" applyProtection="1">
      <alignment horizontal="center" vertical="center"/>
    </xf>
    <xf numFmtId="0" fontId="0" fillId="0" borderId="8" xfId="0" applyBorder="1" applyAlignment="1" applyProtection="1">
      <alignment horizontal="center" vertical="center"/>
    </xf>
    <xf numFmtId="0" fontId="0" fillId="0" borderId="9" xfId="0" applyBorder="1" applyAlignment="1" applyProtection="1">
      <alignment horizontal="center" vertical="center"/>
    </xf>
    <xf numFmtId="0" fontId="0" fillId="0" borderId="10" xfId="0" applyBorder="1" applyAlignment="1" applyProtection="1">
      <alignment horizontal="center" vertical="center"/>
    </xf>
    <xf numFmtId="0" fontId="0" fillId="22" borderId="0" xfId="0" applyFill="1" applyAlignment="1">
      <alignment horizontal="center"/>
    </xf>
    <xf numFmtId="0" fontId="0" fillId="0" borderId="9" xfId="0" applyFill="1" applyBorder="1" applyAlignment="1" applyProtection="1">
      <alignment horizontal="center" vertical="center"/>
    </xf>
    <xf numFmtId="0" fontId="0" fillId="0" borderId="8" xfId="0" applyFill="1" applyBorder="1" applyAlignment="1" applyProtection="1">
      <alignment horizontal="center" vertical="center"/>
    </xf>
    <xf numFmtId="0" fontId="0" fillId="0" borderId="10" xfId="0" applyFill="1" applyBorder="1" applyAlignment="1" applyProtection="1">
      <alignment horizontal="center" vertical="center"/>
    </xf>
    <xf numFmtId="0" fontId="0" fillId="21" borderId="8" xfId="0" applyFill="1" applyBorder="1" applyAlignment="1" applyProtection="1">
      <alignment horizontal="center" vertical="center"/>
    </xf>
    <xf numFmtId="0" fontId="0" fillId="21" borderId="9" xfId="0" applyFill="1" applyBorder="1" applyAlignment="1" applyProtection="1">
      <alignment horizontal="center" vertical="center"/>
    </xf>
    <xf numFmtId="0" fontId="0" fillId="21" borderId="10" xfId="0" applyFill="1" applyBorder="1" applyAlignment="1" applyProtection="1">
      <alignment horizontal="center" vertical="center"/>
    </xf>
    <xf numFmtId="0" fontId="6" fillId="4" borderId="0" xfId="0" applyFont="1" applyFill="1" applyAlignment="1">
      <alignment horizontal="right"/>
    </xf>
    <xf numFmtId="0" fontId="6" fillId="27" borderId="0" xfId="0" applyFont="1" applyFill="1" applyAlignment="1" applyProtection="1"/>
    <xf numFmtId="0" fontId="6" fillId="27" borderId="0" xfId="0" applyFont="1" applyFill="1"/>
    <xf numFmtId="0" fontId="0" fillId="16" borderId="8" xfId="0" applyFill="1" applyBorder="1" applyProtection="1">
      <protection locked="0"/>
    </xf>
    <xf numFmtId="0" fontId="0" fillId="16" borderId="13" xfId="0" applyFill="1" applyBorder="1" applyProtection="1">
      <protection locked="0"/>
    </xf>
    <xf numFmtId="0" fontId="0" fillId="16" borderId="14" xfId="0" applyFill="1" applyBorder="1" applyProtection="1">
      <protection locked="0"/>
    </xf>
    <xf numFmtId="0" fontId="0" fillId="0" borderId="14" xfId="0" applyFill="1" applyBorder="1"/>
    <xf numFmtId="2" fontId="0" fillId="16" borderId="15" xfId="0" applyNumberFormat="1" applyFill="1" applyBorder="1" applyProtection="1">
      <protection locked="0"/>
    </xf>
    <xf numFmtId="0" fontId="0" fillId="21" borderId="0" xfId="0" applyFill="1"/>
    <xf numFmtId="0" fontId="0" fillId="23" borderId="0" xfId="0" applyFill="1" applyAlignment="1">
      <alignment horizontal="right"/>
    </xf>
    <xf numFmtId="0" fontId="0" fillId="23" borderId="0" xfId="0" applyFill="1" applyAlignment="1" applyProtection="1">
      <alignment horizontal="center" vertical="center"/>
    </xf>
    <xf numFmtId="0" fontId="0" fillId="23" borderId="0" xfId="0" applyFill="1" applyAlignment="1">
      <alignment horizontal="center"/>
    </xf>
    <xf numFmtId="0" fontId="6" fillId="2" borderId="0" xfId="0" applyFont="1" applyFill="1" applyBorder="1" applyAlignment="1">
      <alignment vertical="center"/>
    </xf>
    <xf numFmtId="0" fontId="6" fillId="2" borderId="26" xfId="0" applyFont="1" applyFill="1" applyBorder="1" applyAlignment="1">
      <alignment horizontal="left" vertical="center"/>
    </xf>
    <xf numFmtId="2" fontId="6" fillId="16" borderId="0" xfId="0" applyNumberFormat="1" applyFont="1" applyFill="1" applyAlignment="1" applyProtection="1">
      <alignment horizontal="center"/>
      <protection locked="0"/>
    </xf>
    <xf numFmtId="0" fontId="33" fillId="2" borderId="0" xfId="0" applyFont="1" applyFill="1" applyAlignment="1">
      <alignment vertical="center"/>
    </xf>
    <xf numFmtId="0" fontId="0" fillId="20" borderId="0" xfId="0" applyFill="1" applyAlignment="1">
      <alignment vertical="center"/>
    </xf>
    <xf numFmtId="0" fontId="6" fillId="0" borderId="0" xfId="0" applyFont="1" applyAlignment="1">
      <alignment horizontal="right" vertical="center"/>
    </xf>
    <xf numFmtId="0" fontId="17" fillId="0" borderId="0" xfId="0" applyFont="1" applyAlignment="1">
      <alignment horizontal="right"/>
    </xf>
    <xf numFmtId="0" fontId="3" fillId="2" borderId="0" xfId="0" applyFont="1" applyFill="1" applyAlignment="1">
      <alignment horizontal="right"/>
    </xf>
    <xf numFmtId="0" fontId="32" fillId="2" borderId="0" xfId="0" applyFont="1" applyFill="1" applyAlignment="1">
      <alignment horizontal="left" indent="1"/>
    </xf>
    <xf numFmtId="0" fontId="0" fillId="18" borderId="0" xfId="0" applyFill="1" applyProtection="1">
      <protection locked="0"/>
    </xf>
    <xf numFmtId="0" fontId="3" fillId="5" borderId="1" xfId="0" applyFont="1" applyFill="1" applyBorder="1" applyAlignment="1" applyProtection="1">
      <alignment horizontal="center" vertical="center"/>
      <protection locked="0"/>
    </xf>
    <xf numFmtId="0" fontId="0" fillId="2" borderId="0" xfId="0" applyFill="1" applyBorder="1" applyAlignment="1">
      <alignment horizontal="center" vertical="center"/>
    </xf>
    <xf numFmtId="0" fontId="0" fillId="2" borderId="9" xfId="0" applyFill="1" applyBorder="1" applyAlignment="1">
      <alignment horizontal="center" vertical="center"/>
    </xf>
    <xf numFmtId="0" fontId="0" fillId="2" borderId="0" xfId="0" applyFill="1" applyBorder="1"/>
    <xf numFmtId="0" fontId="0" fillId="2" borderId="26" xfId="0" applyFill="1" applyBorder="1"/>
    <xf numFmtId="0" fontId="0" fillId="4" borderId="0" xfId="0" applyFill="1" applyAlignment="1">
      <alignment horizontal="center"/>
    </xf>
    <xf numFmtId="0" fontId="3" fillId="2" borderId="26" xfId="0" applyFont="1" applyFill="1" applyBorder="1" applyAlignment="1">
      <alignment horizontal="left" vertical="center"/>
    </xf>
    <xf numFmtId="0" fontId="3" fillId="2" borderId="0" xfId="0" applyFont="1" applyFill="1" applyBorder="1"/>
    <xf numFmtId="0" fontId="3" fillId="0" borderId="0" xfId="0" applyFont="1"/>
    <xf numFmtId="0" fontId="3" fillId="0" borderId="0" xfId="0" applyFont="1" applyAlignment="1">
      <alignment horizontal="left" indent="1"/>
    </xf>
    <xf numFmtId="0" fontId="0" fillId="2" borderId="9" xfId="0" applyFill="1" applyBorder="1" applyAlignment="1">
      <alignment horizontal="center" vertical="center"/>
    </xf>
    <xf numFmtId="0" fontId="0" fillId="2" borderId="0" xfId="0" applyFill="1" applyBorder="1"/>
    <xf numFmtId="0" fontId="3" fillId="2" borderId="9" xfId="0" applyFont="1" applyFill="1" applyBorder="1" applyAlignment="1">
      <alignment horizontal="center" vertical="center"/>
    </xf>
    <xf numFmtId="0" fontId="0" fillId="4" borderId="0" xfId="0" applyFill="1" applyAlignment="1">
      <alignment horizontal="center"/>
    </xf>
    <xf numFmtId="165" fontId="3" fillId="5" borderId="1" xfId="0" applyNumberFormat="1" applyFont="1" applyFill="1" applyBorder="1" applyAlignment="1" applyProtection="1">
      <alignment horizontal="center" vertical="center"/>
      <protection locked="0"/>
    </xf>
    <xf numFmtId="0" fontId="0" fillId="2" borderId="0" xfId="0" applyFill="1" applyBorder="1" applyAlignment="1">
      <alignment horizontal="center" vertical="center"/>
    </xf>
    <xf numFmtId="0" fontId="0" fillId="0" borderId="0" xfId="0" applyBorder="1"/>
    <xf numFmtId="0" fontId="5" fillId="2" borderId="78" xfId="0" applyFont="1" applyFill="1" applyBorder="1"/>
    <xf numFmtId="0" fontId="5" fillId="2" borderId="4" xfId="0" applyFont="1" applyFill="1" applyBorder="1"/>
    <xf numFmtId="0" fontId="5" fillId="2" borderId="0" xfId="0" applyFont="1" applyFill="1" applyBorder="1"/>
    <xf numFmtId="0" fontId="12" fillId="2" borderId="0" xfId="0" applyFont="1" applyFill="1" applyBorder="1" applyAlignment="1">
      <alignment horizontal="left"/>
    </xf>
    <xf numFmtId="0" fontId="0" fillId="2" borderId="0" xfId="0" applyFill="1" applyBorder="1"/>
    <xf numFmtId="0" fontId="0" fillId="2" borderId="28" xfId="0" applyFill="1" applyBorder="1"/>
    <xf numFmtId="0" fontId="30" fillId="2" borderId="0" xfId="0" applyFont="1" applyFill="1" applyBorder="1"/>
    <xf numFmtId="0" fontId="0" fillId="2" borderId="26" xfId="0" applyFill="1" applyBorder="1"/>
    <xf numFmtId="0" fontId="0" fillId="0" borderId="0" xfId="0" applyFill="1" applyAlignment="1">
      <alignment horizontal="center"/>
    </xf>
    <xf numFmtId="0" fontId="0" fillId="2" borderId="0" xfId="0" applyFill="1" applyBorder="1" applyAlignment="1">
      <alignment horizontal="center"/>
    </xf>
    <xf numFmtId="0" fontId="0" fillId="2" borderId="48" xfId="0" applyFill="1" applyBorder="1" applyAlignment="1">
      <alignment horizontal="center"/>
    </xf>
    <xf numFmtId="0" fontId="0" fillId="0" borderId="9" xfId="0" applyFill="1" applyBorder="1" applyAlignment="1">
      <alignment horizontal="center"/>
    </xf>
    <xf numFmtId="0" fontId="0" fillId="2" borderId="0" xfId="0" applyFill="1" applyBorder="1" applyAlignment="1">
      <alignment horizontal="right"/>
    </xf>
    <xf numFmtId="0" fontId="0" fillId="0" borderId="4" xfId="0" applyFill="1" applyBorder="1" applyAlignment="1">
      <alignment horizontal="center"/>
    </xf>
    <xf numFmtId="0" fontId="0" fillId="0" borderId="5" xfId="0" applyFill="1" applyBorder="1" applyAlignment="1">
      <alignment horizontal="center"/>
    </xf>
    <xf numFmtId="0" fontId="0" fillId="0" borderId="0" xfId="0" applyFill="1" applyBorder="1" applyAlignment="1">
      <alignment horizontal="center"/>
    </xf>
    <xf numFmtId="0" fontId="0" fillId="0" borderId="78" xfId="0" applyFill="1" applyBorder="1" applyAlignment="1">
      <alignment horizontal="center"/>
    </xf>
    <xf numFmtId="0" fontId="0" fillId="0" borderId="0" xfId="0" applyBorder="1" applyAlignment="1">
      <alignment horizontal="center"/>
    </xf>
    <xf numFmtId="0" fontId="5" fillId="13" borderId="0" xfId="0" applyFont="1" applyFill="1" applyBorder="1" applyAlignment="1">
      <alignment horizontal="right"/>
    </xf>
    <xf numFmtId="0" fontId="5" fillId="13" borderId="6" xfId="0" applyFont="1" applyFill="1" applyBorder="1" applyAlignment="1">
      <alignment horizontal="right"/>
    </xf>
    <xf numFmtId="0" fontId="3" fillId="2" borderId="0" xfId="0" applyFont="1" applyFill="1" applyAlignment="1">
      <alignment horizontal="left" vertical="center"/>
    </xf>
    <xf numFmtId="0" fontId="37" fillId="2" borderId="0" xfId="0" applyFont="1" applyFill="1" applyAlignment="1">
      <alignment horizontal="left" vertical="center"/>
    </xf>
    <xf numFmtId="0" fontId="37" fillId="2" borderId="0" xfId="0" applyFont="1" applyFill="1" applyAlignment="1">
      <alignment vertical="center"/>
    </xf>
    <xf numFmtId="1" fontId="0" fillId="6" borderId="1" xfId="0" applyNumberFormat="1" applyFill="1" applyBorder="1" applyAlignment="1">
      <alignment horizontal="center" vertical="center"/>
    </xf>
    <xf numFmtId="0" fontId="5" fillId="2" borderId="3" xfId="0" applyFont="1" applyFill="1" applyBorder="1" applyAlignment="1">
      <alignment vertical="center"/>
    </xf>
    <xf numFmtId="0" fontId="3" fillId="2" borderId="0" xfId="0" applyFont="1" applyFill="1" applyAlignment="1">
      <alignment horizontal="right" vertical="center"/>
    </xf>
    <xf numFmtId="3" fontId="0" fillId="6" borderId="1" xfId="0" applyNumberFormat="1" applyFill="1" applyBorder="1" applyAlignment="1">
      <alignment horizontal="center" vertical="center"/>
    </xf>
    <xf numFmtId="0" fontId="3" fillId="2" borderId="0" xfId="0" applyFont="1" applyFill="1" applyAlignment="1">
      <alignment horizontal="center" vertical="center"/>
    </xf>
    <xf numFmtId="0" fontId="3" fillId="2" borderId="0" xfId="0" quotePrefix="1" applyFont="1" applyFill="1" applyAlignment="1">
      <alignment horizontal="left" vertical="center" indent="2"/>
    </xf>
    <xf numFmtId="0" fontId="38" fillId="2" borderId="0" xfId="0" applyFont="1" applyFill="1" applyAlignment="1">
      <alignment horizontal="center" vertical="center"/>
    </xf>
    <xf numFmtId="0" fontId="38" fillId="2" borderId="0" xfId="0" applyFont="1" applyFill="1" applyAlignment="1">
      <alignment horizontal="right" vertical="center"/>
    </xf>
    <xf numFmtId="0" fontId="38" fillId="2" borderId="0" xfId="0" applyFont="1" applyFill="1" applyAlignment="1">
      <alignment vertical="center"/>
    </xf>
    <xf numFmtId="0" fontId="3" fillId="2" borderId="0" xfId="0" applyFont="1" applyFill="1"/>
    <xf numFmtId="0" fontId="12" fillId="2" borderId="0" xfId="0" applyFont="1" applyFill="1" applyAlignment="1">
      <alignment horizontal="center"/>
    </xf>
    <xf numFmtId="0" fontId="5" fillId="2" borderId="0" xfId="0" applyFont="1" applyFill="1" applyAlignment="1">
      <alignment horizontal="left"/>
    </xf>
    <xf numFmtId="0" fontId="3" fillId="2" borderId="0" xfId="0" applyFont="1" applyFill="1" applyAlignment="1">
      <alignment horizontal="left"/>
    </xf>
    <xf numFmtId="0" fontId="3" fillId="23" borderId="0" xfId="0" applyFont="1" applyFill="1"/>
    <xf numFmtId="0" fontId="33" fillId="2" borderId="0" xfId="0" applyFont="1" applyFill="1" applyAlignment="1">
      <alignment horizontal="left" vertical="center" indent="1"/>
    </xf>
    <xf numFmtId="0" fontId="39" fillId="2" borderId="0" xfId="0" applyFont="1" applyFill="1" applyAlignment="1">
      <alignment horizontal="left" vertical="center"/>
    </xf>
    <xf numFmtId="0" fontId="7" fillId="2" borderId="0" xfId="0" applyFont="1" applyFill="1" applyBorder="1" applyAlignment="1">
      <alignment horizontal="right"/>
    </xf>
    <xf numFmtId="0" fontId="7" fillId="2" borderId="0" xfId="0" applyFont="1" applyFill="1" applyBorder="1" applyAlignment="1">
      <alignment horizontal="left"/>
    </xf>
    <xf numFmtId="0" fontId="24" fillId="2" borderId="0" xfId="0" applyFont="1" applyFill="1" applyBorder="1" applyAlignment="1">
      <alignment horizontal="right"/>
    </xf>
    <xf numFmtId="0" fontId="0" fillId="0" borderId="0" xfId="0" applyAlignment="1" applyProtection="1">
      <alignment vertical="center"/>
    </xf>
    <xf numFmtId="0" fontId="3" fillId="2" borderId="0" xfId="0" applyFont="1" applyFill="1" applyAlignment="1">
      <alignment horizontal="left" vertical="top"/>
    </xf>
    <xf numFmtId="0" fontId="3" fillId="4" borderId="0" xfId="0" applyFont="1" applyFill="1"/>
    <xf numFmtId="0" fontId="3" fillId="0" borderId="0" xfId="0" applyFont="1" applyAlignment="1">
      <alignment horizontal="center"/>
    </xf>
    <xf numFmtId="0" fontId="3" fillId="0" borderId="3" xfId="0" applyFont="1" applyBorder="1"/>
    <xf numFmtId="0" fontId="0" fillId="28" borderId="0" xfId="0" applyFill="1"/>
    <xf numFmtId="0" fontId="7" fillId="28" borderId="0" xfId="0" applyFont="1" applyFill="1"/>
    <xf numFmtId="0" fontId="5" fillId="28" borderId="0" xfId="0" applyFont="1" applyFill="1"/>
    <xf numFmtId="0" fontId="3" fillId="28" borderId="3" xfId="0" applyFont="1" applyFill="1" applyBorder="1"/>
    <xf numFmtId="0" fontId="0" fillId="28" borderId="8" xfId="0" applyFill="1" applyBorder="1"/>
    <xf numFmtId="0" fontId="3" fillId="28" borderId="9" xfId="0" applyFont="1" applyFill="1" applyBorder="1" applyAlignment="1">
      <alignment horizontal="center"/>
    </xf>
    <xf numFmtId="0" fontId="3" fillId="28" borderId="10" xfId="0" applyFont="1" applyFill="1" applyBorder="1" applyAlignment="1">
      <alignment horizontal="center"/>
    </xf>
    <xf numFmtId="0" fontId="3" fillId="28" borderId="4" xfId="0" applyFont="1" applyFill="1" applyBorder="1" applyAlignment="1">
      <alignment horizontal="center"/>
    </xf>
    <xf numFmtId="0" fontId="3" fillId="28" borderId="8" xfId="0" applyFont="1" applyFill="1" applyBorder="1" applyAlignment="1">
      <alignment horizontal="center"/>
    </xf>
    <xf numFmtId="0" fontId="0" fillId="0" borderId="2" xfId="0" applyFill="1" applyBorder="1" applyAlignment="1" applyProtection="1">
      <alignment horizontal="center"/>
      <protection locked="0"/>
    </xf>
    <xf numFmtId="0" fontId="0" fillId="0" borderId="11" xfId="0" applyFill="1" applyBorder="1" applyAlignment="1" applyProtection="1">
      <alignment horizontal="center"/>
      <protection locked="0"/>
    </xf>
    <xf numFmtId="0" fontId="0" fillId="0" borderId="12" xfId="0" applyFill="1" applyBorder="1" applyAlignment="1" applyProtection="1">
      <alignment horizontal="center"/>
      <protection locked="0"/>
    </xf>
    <xf numFmtId="1" fontId="0" fillId="26" borderId="2" xfId="0" applyNumberFormat="1" applyFill="1" applyBorder="1" applyAlignment="1">
      <alignment horizontal="center"/>
    </xf>
    <xf numFmtId="3" fontId="0" fillId="26" borderId="2" xfId="0" applyNumberFormat="1" applyFill="1" applyBorder="1" applyAlignment="1">
      <alignment horizontal="center"/>
    </xf>
    <xf numFmtId="3" fontId="0" fillId="26" borderId="11" xfId="0" applyNumberFormat="1" applyFill="1" applyBorder="1" applyAlignment="1">
      <alignment horizontal="center"/>
    </xf>
    <xf numFmtId="3" fontId="0" fillId="26" borderId="12" xfId="0" applyNumberFormat="1" applyFill="1" applyBorder="1" applyAlignment="1">
      <alignment horizontal="center"/>
    </xf>
    <xf numFmtId="0" fontId="3" fillId="0" borderId="0" xfId="0" applyFont="1" applyFill="1"/>
    <xf numFmtId="0" fontId="3" fillId="0" borderId="8" xfId="0" applyFont="1" applyBorder="1"/>
    <xf numFmtId="0" fontId="0" fillId="23" borderId="0" xfId="0" applyFill="1" applyAlignment="1">
      <alignment horizontal="center"/>
    </xf>
    <xf numFmtId="0" fontId="0" fillId="0" borderId="0" xfId="0" applyAlignment="1">
      <alignment vertical="top"/>
    </xf>
    <xf numFmtId="0" fontId="3" fillId="0" borderId="0" xfId="0" applyFont="1" applyAlignment="1">
      <alignment horizontal="right"/>
    </xf>
    <xf numFmtId="0" fontId="3" fillId="0" borderId="0" xfId="0" applyFont="1" applyAlignment="1">
      <alignment horizontal="left"/>
    </xf>
    <xf numFmtId="0" fontId="3" fillId="20" borderId="0" xfId="0" applyFont="1" applyFill="1"/>
    <xf numFmtId="0" fontId="3" fillId="22" borderId="0" xfId="0" applyFont="1" applyFill="1"/>
    <xf numFmtId="0" fontId="3" fillId="20" borderId="0" xfId="0" applyFont="1" applyFill="1" applyAlignment="1">
      <alignment horizontal="left"/>
    </xf>
    <xf numFmtId="0" fontId="3" fillId="0" borderId="0" xfId="0" applyFont="1" applyFill="1" applyAlignment="1">
      <alignment horizontal="left" vertical="center"/>
    </xf>
    <xf numFmtId="0" fontId="3" fillId="2" borderId="0" xfId="0" quotePrefix="1" applyFont="1" applyFill="1" applyAlignment="1">
      <alignment vertical="center"/>
    </xf>
    <xf numFmtId="0" fontId="5" fillId="23" borderId="0" xfId="0" applyFont="1" applyFill="1"/>
    <xf numFmtId="0" fontId="0" fillId="21" borderId="0" xfId="0" applyFill="1" applyAlignment="1">
      <alignment horizontal="center"/>
    </xf>
    <xf numFmtId="0" fontId="0" fillId="24" borderId="0" xfId="0" applyFill="1" applyAlignment="1" applyProtection="1">
      <alignment horizontal="center"/>
      <protection locked="0"/>
    </xf>
    <xf numFmtId="165" fontId="0" fillId="0" borderId="0" xfId="0" applyNumberFormat="1"/>
    <xf numFmtId="0" fontId="3" fillId="23" borderId="0" xfId="0" applyFont="1" applyFill="1" applyAlignment="1">
      <alignment horizontal="center"/>
    </xf>
    <xf numFmtId="165" fontId="0" fillId="24" borderId="0" xfId="0" applyNumberFormat="1" applyFill="1" applyAlignment="1" applyProtection="1">
      <alignment horizontal="center"/>
      <protection locked="0"/>
    </xf>
    <xf numFmtId="1" fontId="0" fillId="2" borderId="0" xfId="0" applyNumberFormat="1" applyFill="1" applyAlignment="1">
      <alignment vertical="center"/>
    </xf>
    <xf numFmtId="3" fontId="0" fillId="26" borderId="1" xfId="0" applyNumberFormat="1" applyFill="1" applyBorder="1" applyAlignment="1">
      <alignment horizontal="center" vertical="center"/>
    </xf>
    <xf numFmtId="0" fontId="0" fillId="23" borderId="0" xfId="0" applyFill="1" applyAlignment="1">
      <alignment horizontal="center"/>
    </xf>
    <xf numFmtId="0" fontId="0" fillId="0" borderId="0" xfId="0" applyBorder="1"/>
    <xf numFmtId="0" fontId="5" fillId="2" borderId="0" xfId="0" applyFont="1" applyFill="1" applyBorder="1"/>
    <xf numFmtId="0" fontId="3" fillId="2" borderId="0" xfId="0" applyFont="1" applyFill="1" applyBorder="1"/>
    <xf numFmtId="0" fontId="0" fillId="2" borderId="0" xfId="0" applyFill="1" applyBorder="1"/>
    <xf numFmtId="0" fontId="0" fillId="2" borderId="26" xfId="0" applyFill="1" applyBorder="1"/>
    <xf numFmtId="0" fontId="5" fillId="13" borderId="6" xfId="0" applyFont="1" applyFill="1" applyBorder="1" applyAlignment="1">
      <alignment horizontal="right"/>
    </xf>
    <xf numFmtId="0" fontId="0" fillId="0" borderId="4" xfId="0" applyFill="1" applyBorder="1" applyAlignment="1">
      <alignment horizontal="center"/>
    </xf>
    <xf numFmtId="0" fontId="0" fillId="0" borderId="5" xfId="0" applyFill="1" applyBorder="1" applyAlignment="1">
      <alignment horizontal="center"/>
    </xf>
    <xf numFmtId="3" fontId="6" fillId="6" borderId="1" xfId="0" applyNumberFormat="1" applyFont="1" applyFill="1" applyBorder="1" applyAlignment="1">
      <alignment horizontal="right"/>
    </xf>
    <xf numFmtId="3" fontId="6" fillId="2" borderId="0" xfId="0" applyNumberFormat="1" applyFont="1" applyFill="1"/>
    <xf numFmtId="3" fontId="0" fillId="2" borderId="0" xfId="0" applyNumberFormat="1" applyFill="1" applyAlignment="1">
      <alignment horizontal="right"/>
    </xf>
    <xf numFmtId="0" fontId="31" fillId="2" borderId="0" xfId="0" applyFont="1" applyFill="1" applyAlignment="1">
      <alignment horizontal="center"/>
    </xf>
    <xf numFmtId="0" fontId="31" fillId="2" borderId="0" xfId="0" applyFont="1" applyFill="1" applyAlignment="1">
      <alignment horizontal="center" wrapText="1"/>
    </xf>
    <xf numFmtId="0" fontId="3" fillId="0" borderId="2" xfId="0" applyFont="1" applyFill="1" applyBorder="1" applyAlignment="1" applyProtection="1">
      <alignment horizontal="center"/>
      <protection locked="0"/>
    </xf>
    <xf numFmtId="3" fontId="3" fillId="26" borderId="8" xfId="0" applyNumberFormat="1" applyFont="1" applyFill="1" applyBorder="1" applyAlignment="1">
      <alignment horizontal="center"/>
    </xf>
    <xf numFmtId="3" fontId="3" fillId="26" borderId="9" xfId="0" applyNumberFormat="1" applyFont="1" applyFill="1" applyBorder="1" applyAlignment="1">
      <alignment horizontal="center"/>
    </xf>
    <xf numFmtId="3" fontId="3" fillId="26" borderId="10" xfId="0" applyNumberFormat="1" applyFont="1" applyFill="1" applyBorder="1" applyAlignment="1">
      <alignment horizontal="center"/>
    </xf>
    <xf numFmtId="165" fontId="0" fillId="6" borderId="1" xfId="0" applyNumberFormat="1" applyFill="1" applyBorder="1" applyAlignment="1">
      <alignment horizontal="center" vertical="center"/>
    </xf>
    <xf numFmtId="0" fontId="0" fillId="23" borderId="0" xfId="0" applyFill="1" applyAlignment="1">
      <alignment horizontal="center"/>
    </xf>
    <xf numFmtId="0" fontId="5" fillId="13" borderId="0" xfId="0" applyFont="1" applyFill="1" applyAlignment="1">
      <alignment horizontal="left"/>
    </xf>
    <xf numFmtId="0" fontId="3" fillId="15" borderId="0" xfId="0" applyFont="1" applyFill="1"/>
    <xf numFmtId="0" fontId="3" fillId="2" borderId="0" xfId="0" applyFont="1" applyFill="1" applyBorder="1" applyAlignment="1">
      <alignment horizontal="left" vertical="center"/>
    </xf>
    <xf numFmtId="0" fontId="0" fillId="0" borderId="0" xfId="0" applyFont="1" applyFill="1" applyBorder="1" applyAlignment="1">
      <alignment horizontal="right"/>
    </xf>
    <xf numFmtId="0" fontId="0" fillId="2" borderId="0" xfId="0" applyFill="1" applyAlignment="1">
      <alignment horizontal="right" vertical="center"/>
    </xf>
    <xf numFmtId="0" fontId="0" fillId="0" borderId="0" xfId="0" applyBorder="1"/>
    <xf numFmtId="167" fontId="0" fillId="9" borderId="0" xfId="0" applyNumberFormat="1" applyFill="1"/>
    <xf numFmtId="0" fontId="3" fillId="2" borderId="0" xfId="0" quotePrefix="1" applyFont="1" applyFill="1" applyAlignment="1">
      <alignment horizontal="right" vertical="center"/>
    </xf>
    <xf numFmtId="0" fontId="17" fillId="0" borderId="0" xfId="0" applyFont="1" applyBorder="1" applyAlignment="1">
      <alignment horizontal="right" vertical="center"/>
    </xf>
    <xf numFmtId="0" fontId="0" fillId="2" borderId="0" xfId="0" applyFill="1" applyAlignment="1">
      <alignment horizontal="right" vertical="center"/>
    </xf>
    <xf numFmtId="0" fontId="0" fillId="0" borderId="0" xfId="0" applyBorder="1"/>
    <xf numFmtId="0" fontId="0" fillId="23" borderId="0" xfId="0" applyFill="1" applyAlignment="1">
      <alignment horizontal="center"/>
    </xf>
    <xf numFmtId="0" fontId="0" fillId="0" borderId="5" xfId="0" applyBorder="1" applyAlignment="1">
      <alignment horizontal="center"/>
    </xf>
    <xf numFmtId="0" fontId="0" fillId="0" borderId="7" xfId="0" applyBorder="1" applyAlignment="1">
      <alignment horizontal="center"/>
    </xf>
    <xf numFmtId="0" fontId="3" fillId="23" borderId="0" xfId="0" applyFont="1" applyFill="1" applyAlignment="1">
      <alignment horizontal="right" vertical="center"/>
    </xf>
    <xf numFmtId="0" fontId="0" fillId="23" borderId="0" xfId="0" applyFill="1" applyAlignment="1">
      <alignment vertical="center"/>
    </xf>
    <xf numFmtId="0" fontId="0" fillId="0" borderId="7" xfId="0" applyBorder="1" applyAlignment="1">
      <alignment horizontal="right"/>
    </xf>
    <xf numFmtId="0" fontId="3" fillId="2" borderId="0" xfId="0" applyFont="1" applyFill="1" applyAlignment="1">
      <alignment horizontal="center"/>
    </xf>
    <xf numFmtId="0" fontId="0" fillId="2" borderId="0" xfId="0" applyFill="1" applyAlignment="1">
      <alignment horizontal="right" vertical="center"/>
    </xf>
    <xf numFmtId="166" fontId="0" fillId="0" borderId="0" xfId="0" applyNumberFormat="1"/>
    <xf numFmtId="0" fontId="3" fillId="0" borderId="6" xfId="0" applyFont="1" applyFill="1" applyBorder="1"/>
    <xf numFmtId="0" fontId="3" fillId="2" borderId="0" xfId="0" applyFont="1" applyFill="1" applyAlignment="1">
      <alignment horizontal="right" vertical="top"/>
    </xf>
    <xf numFmtId="169" fontId="0" fillId="0" borderId="0" xfId="0" applyNumberFormat="1" applyFill="1" applyBorder="1" applyAlignment="1" applyProtection="1">
      <alignment horizontal="center"/>
    </xf>
    <xf numFmtId="169" fontId="0" fillId="0" borderId="7" xfId="0" applyNumberFormat="1" applyFill="1" applyBorder="1" applyAlignment="1" applyProtection="1">
      <alignment horizontal="center"/>
    </xf>
    <xf numFmtId="169" fontId="0" fillId="0" borderId="26" xfId="0" applyNumberFormat="1" applyFill="1" applyBorder="1" applyAlignment="1" applyProtection="1">
      <alignment horizontal="center"/>
    </xf>
    <xf numFmtId="169" fontId="0" fillId="0" borderId="6" xfId="0" applyNumberFormat="1" applyFill="1" applyBorder="1" applyAlignment="1" applyProtection="1">
      <alignment horizontal="center"/>
    </xf>
    <xf numFmtId="0" fontId="3" fillId="0" borderId="95" xfId="0" applyFont="1" applyBorder="1" applyProtection="1"/>
    <xf numFmtId="0" fontId="3" fillId="2" borderId="0" xfId="0" applyFont="1" applyFill="1" applyBorder="1" applyAlignment="1">
      <alignment vertical="center"/>
    </xf>
    <xf numFmtId="0" fontId="0" fillId="2" borderId="0" xfId="0" applyFill="1" applyBorder="1" applyAlignment="1">
      <alignment horizontal="right" vertical="center" indent="1"/>
    </xf>
    <xf numFmtId="0" fontId="3" fillId="2" borderId="0" xfId="0" applyFont="1" applyFill="1" applyAlignment="1">
      <alignment horizontal="right" vertical="center" indent="1"/>
    </xf>
    <xf numFmtId="0" fontId="3" fillId="2" borderId="0" xfId="0" applyFont="1" applyFill="1" applyAlignment="1">
      <alignment horizontal="left" vertical="center" indent="1"/>
    </xf>
    <xf numFmtId="0" fontId="10" fillId="2" borderId="0" xfId="0" applyFont="1" applyFill="1" applyAlignment="1"/>
    <xf numFmtId="0" fontId="0" fillId="2" borderId="0" xfId="0" applyFill="1" applyAlignment="1">
      <alignment horizontal="right" vertical="center"/>
    </xf>
    <xf numFmtId="0" fontId="0" fillId="0" borderId="0" xfId="0" applyAlignment="1" applyProtection="1">
      <alignment vertical="center"/>
    </xf>
    <xf numFmtId="0" fontId="3" fillId="2" borderId="0" xfId="0" applyFont="1" applyFill="1" applyBorder="1" applyAlignment="1">
      <alignment horizontal="center" vertical="center"/>
    </xf>
    <xf numFmtId="0" fontId="0" fillId="12" borderId="2" xfId="0" applyFill="1" applyBorder="1" applyAlignment="1">
      <alignment horizontal="center"/>
    </xf>
    <xf numFmtId="0" fontId="0" fillId="12" borderId="11" xfId="0" applyFill="1" applyBorder="1" applyAlignment="1">
      <alignment horizontal="center"/>
    </xf>
    <xf numFmtId="0" fontId="0" fillId="12" borderId="12" xfId="0" applyFill="1" applyBorder="1" applyAlignment="1">
      <alignment horizontal="center"/>
    </xf>
    <xf numFmtId="0" fontId="0" fillId="4" borderId="2" xfId="0" applyFill="1" applyBorder="1" applyAlignment="1">
      <alignment horizontal="center"/>
    </xf>
    <xf numFmtId="0" fontId="0" fillId="4" borderId="11" xfId="0" applyFill="1" applyBorder="1" applyAlignment="1">
      <alignment horizontal="center"/>
    </xf>
    <xf numFmtId="0" fontId="0" fillId="4" borderId="12" xfId="0" applyFill="1" applyBorder="1" applyAlignment="1">
      <alignment horizontal="center"/>
    </xf>
    <xf numFmtId="0" fontId="5" fillId="13" borderId="0" xfId="0" applyFont="1" applyFill="1" applyBorder="1" applyAlignment="1"/>
    <xf numFmtId="0" fontId="0" fillId="2" borderId="0" xfId="0" applyFill="1" applyAlignment="1">
      <alignment horizontal="right" vertical="center"/>
    </xf>
    <xf numFmtId="0" fontId="0" fillId="0" borderId="0" xfId="0" applyBorder="1" applyProtection="1"/>
    <xf numFmtId="0" fontId="3" fillId="2" borderId="0" xfId="0" applyFont="1" applyFill="1" applyBorder="1" applyAlignment="1">
      <alignment horizontal="center" vertical="center"/>
    </xf>
    <xf numFmtId="0" fontId="0" fillId="0" borderId="11" xfId="0" applyBorder="1" applyAlignment="1" applyProtection="1">
      <alignment horizontal="center"/>
    </xf>
    <xf numFmtId="0" fontId="0" fillId="0" borderId="12" xfId="0" applyBorder="1" applyAlignment="1" applyProtection="1">
      <alignment horizontal="center"/>
    </xf>
    <xf numFmtId="0" fontId="0" fillId="0" borderId="53" xfId="0" applyBorder="1" applyAlignment="1" applyProtection="1">
      <alignment horizontal="center"/>
    </xf>
    <xf numFmtId="0" fontId="0" fillId="0" borderId="32" xfId="0" applyBorder="1" applyAlignment="1" applyProtection="1">
      <alignment horizontal="center"/>
    </xf>
    <xf numFmtId="0" fontId="0" fillId="0" borderId="22" xfId="0" applyBorder="1" applyAlignment="1" applyProtection="1">
      <alignment horizontal="center"/>
    </xf>
    <xf numFmtId="0" fontId="0" fillId="0" borderId="46" xfId="0" applyBorder="1" applyAlignment="1" applyProtection="1">
      <alignment horizontal="center"/>
    </xf>
    <xf numFmtId="0" fontId="0" fillId="0" borderId="77" xfId="0" applyBorder="1" applyAlignment="1" applyProtection="1">
      <alignment horizontal="center"/>
    </xf>
    <xf numFmtId="0" fontId="0" fillId="0" borderId="70" xfId="0" applyBorder="1" applyAlignment="1" applyProtection="1">
      <alignment horizontal="center"/>
    </xf>
    <xf numFmtId="0" fontId="0" fillId="0" borderId="79" xfId="0" applyBorder="1" applyAlignment="1" applyProtection="1">
      <alignment horizontal="center"/>
    </xf>
    <xf numFmtId="0" fontId="0" fillId="0" borderId="67" xfId="0" applyBorder="1" applyAlignment="1" applyProtection="1">
      <alignment horizontal="center"/>
    </xf>
    <xf numFmtId="0" fontId="0" fillId="0" borderId="0" xfId="0" applyAlignment="1">
      <alignment horizontal="center"/>
    </xf>
    <xf numFmtId="0" fontId="3" fillId="2" borderId="6" xfId="0" applyFont="1" applyFill="1" applyBorder="1" applyAlignment="1">
      <alignment horizontal="left" vertical="center"/>
    </xf>
    <xf numFmtId="0" fontId="3" fillId="22" borderId="0" xfId="0" applyFont="1" applyFill="1" applyAlignment="1">
      <alignment horizontal="right"/>
    </xf>
    <xf numFmtId="0" fontId="0" fillId="21" borderId="0" xfId="0" applyFill="1" applyAlignment="1">
      <alignment horizontal="right"/>
    </xf>
    <xf numFmtId="0" fontId="0" fillId="0" borderId="0" xfId="0" applyFont="1" applyAlignment="1">
      <alignment horizontal="right"/>
    </xf>
    <xf numFmtId="0" fontId="3" fillId="0" borderId="0" xfId="0" applyFont="1" applyAlignment="1"/>
    <xf numFmtId="0" fontId="0" fillId="24" borderId="0" xfId="0" applyFill="1"/>
    <xf numFmtId="2" fontId="0" fillId="4" borderId="0" xfId="0" applyNumberFormat="1" applyFill="1" applyAlignment="1">
      <alignment horizontal="right"/>
    </xf>
    <xf numFmtId="0" fontId="3" fillId="2" borderId="0" xfId="0" applyFont="1" applyFill="1" applyBorder="1" applyAlignment="1">
      <alignment horizontal="center"/>
    </xf>
    <xf numFmtId="0" fontId="3" fillId="2" borderId="0" xfId="0" quotePrefix="1" applyFont="1" applyFill="1" applyAlignment="1">
      <alignment horizontal="left" vertical="center"/>
    </xf>
    <xf numFmtId="0" fontId="12" fillId="2" borderId="0" xfId="0" applyFont="1" applyFill="1" applyAlignment="1">
      <alignment horizontal="right" vertical="center"/>
    </xf>
    <xf numFmtId="165" fontId="12" fillId="6" borderId="1" xfId="0" applyNumberFormat="1" applyFont="1" applyFill="1" applyBorder="1" applyAlignment="1">
      <alignment vertical="center"/>
    </xf>
    <xf numFmtId="0" fontId="5" fillId="2" borderId="0" xfId="0" applyFont="1" applyFill="1" applyAlignment="1">
      <alignment horizontal="center" vertical="center"/>
    </xf>
    <xf numFmtId="0" fontId="11" fillId="2" borderId="0" xfId="0" quotePrefix="1" applyFont="1" applyFill="1" applyAlignment="1">
      <alignment horizontal="left" vertical="center"/>
    </xf>
    <xf numFmtId="0" fontId="11" fillId="2" borderId="0" xfId="0" quotePrefix="1" applyFont="1" applyFill="1" applyAlignment="1">
      <alignment horizontal="right" vertical="center"/>
    </xf>
    <xf numFmtId="0" fontId="11" fillId="0" borderId="1" xfId="0" applyFont="1" applyFill="1" applyBorder="1" applyAlignment="1" applyProtection="1">
      <alignment horizontal="center" vertical="center"/>
      <protection locked="0"/>
    </xf>
    <xf numFmtId="0" fontId="11" fillId="2" borderId="0" xfId="0" applyFont="1" applyFill="1" applyAlignment="1">
      <alignment vertical="center"/>
    </xf>
    <xf numFmtId="165" fontId="11" fillId="6" borderId="1" xfId="0" applyNumberFormat="1" applyFont="1" applyFill="1" applyBorder="1" applyAlignment="1">
      <alignment horizontal="right" vertical="center"/>
    </xf>
    <xf numFmtId="0" fontId="11" fillId="2" borderId="0" xfId="0" applyFont="1" applyFill="1" applyAlignment="1"/>
    <xf numFmtId="0" fontId="3" fillId="2" borderId="0" xfId="0" applyFont="1" applyFill="1" applyAlignment="1"/>
    <xf numFmtId="0" fontId="0" fillId="0" borderId="2" xfId="0" applyFill="1" applyBorder="1" applyAlignment="1" applyProtection="1">
      <alignment horizontal="center" vertical="center"/>
      <protection locked="0"/>
    </xf>
    <xf numFmtId="165" fontId="0" fillId="6" borderId="12" xfId="0" applyNumberFormat="1" applyFill="1" applyBorder="1" applyAlignment="1">
      <alignment horizontal="right" vertical="center"/>
    </xf>
    <xf numFmtId="0" fontId="3" fillId="2" borderId="26" xfId="0" applyFont="1" applyFill="1" applyBorder="1" applyAlignment="1">
      <alignment horizontal="center" vertical="center"/>
    </xf>
    <xf numFmtId="0" fontId="0" fillId="5" borderId="115"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3" fillId="2" borderId="0" xfId="0" applyFont="1" applyFill="1" applyBorder="1" applyAlignment="1">
      <alignment horizontal="right" vertical="center"/>
    </xf>
    <xf numFmtId="3" fontId="3" fillId="6" borderId="1" xfId="0" applyNumberFormat="1" applyFont="1" applyFill="1" applyBorder="1" applyAlignment="1">
      <alignment horizontal="right"/>
    </xf>
    <xf numFmtId="0" fontId="0" fillId="0" borderId="116" xfId="0" applyBorder="1" applyProtection="1"/>
    <xf numFmtId="0" fontId="0" fillId="0" borderId="107" xfId="0" applyBorder="1" applyAlignment="1" applyProtection="1">
      <alignment horizontal="center"/>
    </xf>
    <xf numFmtId="0" fontId="0" fillId="0" borderId="117" xfId="0" applyBorder="1" applyAlignment="1" applyProtection="1">
      <alignment horizontal="center"/>
    </xf>
    <xf numFmtId="0" fontId="0" fillId="4" borderId="118" xfId="0" applyFill="1" applyBorder="1" applyAlignment="1" applyProtection="1">
      <alignment horizontal="center"/>
    </xf>
    <xf numFmtId="0" fontId="3" fillId="0" borderId="21" xfId="0" applyFont="1" applyBorder="1" applyProtection="1"/>
    <xf numFmtId="0" fontId="3" fillId="0" borderId="52" xfId="0" applyFont="1" applyBorder="1" applyProtection="1"/>
    <xf numFmtId="0" fontId="3" fillId="0" borderId="26" xfId="0" applyFont="1" applyBorder="1" applyProtection="1"/>
    <xf numFmtId="0" fontId="0" fillId="0" borderId="23" xfId="0" quotePrefix="1" applyBorder="1" applyAlignment="1" applyProtection="1">
      <alignment horizontal="center"/>
    </xf>
    <xf numFmtId="0" fontId="0" fillId="0" borderId="93" xfId="0" applyBorder="1" applyAlignment="1" applyProtection="1">
      <alignment horizontal="center"/>
    </xf>
    <xf numFmtId="0" fontId="0" fillId="0" borderId="45" xfId="0" quotePrefix="1" applyBorder="1" applyAlignment="1" applyProtection="1">
      <alignment horizontal="center"/>
    </xf>
    <xf numFmtId="0" fontId="0" fillId="0" borderId="119" xfId="0" applyBorder="1" applyProtection="1"/>
    <xf numFmtId="0" fontId="0" fillId="0" borderId="120" xfId="0" applyBorder="1" applyAlignment="1" applyProtection="1">
      <alignment horizontal="center"/>
    </xf>
    <xf numFmtId="0" fontId="0" fillId="4" borderId="120" xfId="0" applyFill="1" applyBorder="1" applyAlignment="1" applyProtection="1">
      <alignment horizontal="center"/>
    </xf>
    <xf numFmtId="0" fontId="0" fillId="4" borderId="111" xfId="0" applyFill="1" applyBorder="1" applyAlignment="1" applyProtection="1">
      <alignment horizontal="center"/>
    </xf>
    <xf numFmtId="0" fontId="3" fillId="0" borderId="112" xfId="0" applyFont="1" applyBorder="1" applyProtection="1"/>
    <xf numFmtId="0" fontId="0" fillId="0" borderId="113" xfId="0" applyBorder="1" applyAlignment="1" applyProtection="1">
      <alignment horizontal="center"/>
    </xf>
    <xf numFmtId="0" fontId="0" fillId="0" borderId="112" xfId="0" applyBorder="1" applyProtection="1"/>
    <xf numFmtId="0" fontId="0" fillId="4" borderId="121" xfId="0" applyFill="1" applyBorder="1" applyAlignment="1" applyProtection="1">
      <alignment horizontal="center"/>
    </xf>
    <xf numFmtId="0" fontId="0" fillId="0" borderId="114" xfId="0" applyBorder="1" applyProtection="1"/>
    <xf numFmtId="0" fontId="0" fillId="0" borderId="122" xfId="0" applyBorder="1" applyAlignment="1" applyProtection="1">
      <alignment horizontal="center"/>
    </xf>
    <xf numFmtId="0" fontId="0" fillId="4" borderId="123" xfId="0" applyFill="1" applyBorder="1" applyAlignment="1" applyProtection="1">
      <alignment horizontal="center"/>
    </xf>
    <xf numFmtId="0" fontId="0" fillId="0" borderId="66" xfId="0" applyBorder="1" applyAlignment="1" applyProtection="1">
      <alignment horizontal="center"/>
    </xf>
    <xf numFmtId="0" fontId="0" fillId="0" borderId="92" xfId="0" applyBorder="1" applyAlignment="1" applyProtection="1">
      <alignment horizontal="center"/>
    </xf>
    <xf numFmtId="0" fontId="0" fillId="0" borderId="82" xfId="0" applyBorder="1" applyAlignment="1" applyProtection="1">
      <alignment horizontal="center"/>
    </xf>
    <xf numFmtId="0" fontId="0" fillId="4" borderId="6" xfId="0" applyFill="1" applyBorder="1" applyAlignment="1" applyProtection="1">
      <alignment horizontal="center"/>
    </xf>
    <xf numFmtId="0" fontId="0" fillId="4" borderId="124" xfId="0" applyFill="1" applyBorder="1" applyAlignment="1" applyProtection="1">
      <alignment horizontal="center"/>
    </xf>
    <xf numFmtId="0" fontId="0" fillId="0" borderId="1" xfId="0" applyBorder="1" applyAlignment="1" applyProtection="1">
      <alignment horizontal="center"/>
    </xf>
    <xf numFmtId="0" fontId="3" fillId="23" borderId="0" xfId="0" applyFont="1" applyFill="1" applyAlignment="1">
      <alignment vertical="center"/>
    </xf>
    <xf numFmtId="3" fontId="3" fillId="26" borderId="1" xfId="0" applyNumberFormat="1" applyFont="1" applyFill="1" applyBorder="1" applyAlignment="1" applyProtection="1">
      <alignment horizontal="right" vertical="center"/>
    </xf>
    <xf numFmtId="0" fontId="0" fillId="23" borderId="0" xfId="0" applyFill="1" applyAlignment="1">
      <alignment horizontal="center"/>
    </xf>
    <xf numFmtId="0" fontId="3" fillId="0" borderId="11" xfId="0" applyFont="1" applyFill="1" applyBorder="1" applyAlignment="1" applyProtection="1">
      <alignment horizontal="center"/>
      <protection locked="0"/>
    </xf>
    <xf numFmtId="3" fontId="5" fillId="26" borderId="8" xfId="0" applyNumberFormat="1" applyFont="1" applyFill="1" applyBorder="1" applyAlignment="1">
      <alignment horizontal="center"/>
    </xf>
    <xf numFmtId="3" fontId="5" fillId="26" borderId="9" xfId="0" applyNumberFormat="1" applyFont="1" applyFill="1" applyBorder="1" applyAlignment="1">
      <alignment horizontal="center"/>
    </xf>
    <xf numFmtId="3" fontId="5" fillId="26" borderId="10" xfId="0" applyNumberFormat="1" applyFont="1" applyFill="1" applyBorder="1" applyAlignment="1">
      <alignment horizontal="center"/>
    </xf>
    <xf numFmtId="3" fontId="3" fillId="26" borderId="3" xfId="0" applyNumberFormat="1" applyFont="1" applyFill="1" applyBorder="1" applyAlignment="1">
      <alignment horizontal="center"/>
    </xf>
    <xf numFmtId="3" fontId="3" fillId="26" borderId="4" xfId="0" applyNumberFormat="1" applyFont="1" applyFill="1" applyBorder="1" applyAlignment="1">
      <alignment horizontal="center"/>
    </xf>
    <xf numFmtId="3" fontId="3" fillId="26" borderId="5" xfId="0" applyNumberFormat="1" applyFont="1" applyFill="1" applyBorder="1" applyAlignment="1">
      <alignment horizontal="center"/>
    </xf>
    <xf numFmtId="1" fontId="3" fillId="26" borderId="2" xfId="0" applyNumberFormat="1" applyFont="1" applyFill="1" applyBorder="1" applyAlignment="1">
      <alignment horizontal="center"/>
    </xf>
    <xf numFmtId="0" fontId="43" fillId="2" borderId="0" xfId="0" applyFont="1" applyFill="1"/>
    <xf numFmtId="0" fontId="32" fillId="2" borderId="0" xfId="0" applyFont="1" applyFill="1" applyAlignment="1">
      <alignment vertical="center"/>
    </xf>
    <xf numFmtId="0" fontId="16" fillId="2" borderId="0" xfId="0" applyFont="1" applyFill="1" applyAlignment="1">
      <alignment vertical="center"/>
    </xf>
    <xf numFmtId="0" fontId="3" fillId="23" borderId="0" xfId="0" applyFont="1" applyFill="1" applyAlignment="1">
      <alignment horizontal="left"/>
    </xf>
    <xf numFmtId="0" fontId="31" fillId="2" borderId="0" xfId="0" applyFont="1" applyFill="1"/>
    <xf numFmtId="0" fontId="5" fillId="13" borderId="0" xfId="0" applyFont="1" applyFill="1" applyAlignment="1">
      <alignment horizontal="left"/>
    </xf>
    <xf numFmtId="0" fontId="44" fillId="0" borderId="0" xfId="0" applyFont="1" applyFill="1" applyAlignment="1">
      <alignment vertical="center"/>
    </xf>
    <xf numFmtId="0" fontId="3" fillId="5" borderId="1" xfId="0" applyFont="1" applyFill="1" applyBorder="1" applyAlignment="1" applyProtection="1">
      <alignment horizontal="center"/>
      <protection locked="0"/>
    </xf>
    <xf numFmtId="0" fontId="0" fillId="23" borderId="0" xfId="0" applyFill="1" applyAlignment="1">
      <alignment horizontal="center"/>
    </xf>
    <xf numFmtId="0" fontId="5" fillId="13" borderId="0" xfId="0" applyFont="1" applyFill="1" applyAlignment="1">
      <alignment horizontal="left"/>
    </xf>
    <xf numFmtId="0" fontId="11" fillId="5" borderId="1" xfId="0" applyFont="1" applyFill="1" applyBorder="1" applyAlignment="1" applyProtection="1">
      <alignment horizontal="center" vertical="center"/>
      <protection locked="0"/>
    </xf>
    <xf numFmtId="0" fontId="0" fillId="24" borderId="0" xfId="0" applyNumberFormat="1" applyFill="1" applyAlignment="1" applyProtection="1">
      <alignment horizontal="center"/>
      <protection locked="0"/>
    </xf>
    <xf numFmtId="0" fontId="3" fillId="0" borderId="0" xfId="0" applyFont="1" applyAlignment="1">
      <alignment horizontal="center"/>
    </xf>
    <xf numFmtId="0" fontId="0" fillId="0" borderId="0" xfId="0" applyBorder="1"/>
    <xf numFmtId="0" fontId="11" fillId="2" borderId="0" xfId="0" quotePrefix="1" applyFont="1" applyFill="1" applyAlignment="1">
      <alignment horizontal="left" vertical="center" indent="3"/>
    </xf>
    <xf numFmtId="0" fontId="0" fillId="0" borderId="0" xfId="0" applyAlignment="1" applyProtection="1">
      <alignment horizontal="right"/>
      <protection locked="0"/>
    </xf>
    <xf numFmtId="0" fontId="0" fillId="24" borderId="0" xfId="0" applyFill="1" applyProtection="1">
      <protection locked="0"/>
    </xf>
    <xf numFmtId="0" fontId="5" fillId="0" borderId="0" xfId="0" applyFont="1" applyFill="1" applyBorder="1" applyAlignment="1" applyProtection="1"/>
    <xf numFmtId="0" fontId="3" fillId="0" borderId="0" xfId="0" applyFont="1" applyFill="1" applyAlignment="1" applyProtection="1">
      <alignment horizontal="right"/>
    </xf>
    <xf numFmtId="0" fontId="16" fillId="2" borderId="0" xfId="0" applyFont="1" applyFill="1" applyAlignment="1">
      <alignment wrapText="1"/>
    </xf>
    <xf numFmtId="0" fontId="31" fillId="2" borderId="0" xfId="0" applyFont="1" applyFill="1" applyAlignment="1">
      <alignment vertical="top" wrapText="1"/>
    </xf>
    <xf numFmtId="2" fontId="0" fillId="6" borderId="1" xfId="0" applyNumberFormat="1" applyFill="1" applyBorder="1" applyAlignment="1">
      <alignment horizontal="right"/>
    </xf>
    <xf numFmtId="1" fontId="0" fillId="5" borderId="1" xfId="0" applyNumberFormat="1" applyFill="1" applyBorder="1" applyAlignment="1" applyProtection="1">
      <alignment horizontal="center" vertical="center"/>
      <protection locked="0"/>
    </xf>
    <xf numFmtId="1" fontId="0" fillId="2" borderId="0" xfId="0" applyNumberFormat="1" applyFill="1" applyBorder="1" applyAlignment="1">
      <alignment horizontal="center" vertical="center"/>
    </xf>
    <xf numFmtId="1" fontId="0" fillId="2" borderId="0" xfId="0" quotePrefix="1" applyNumberFormat="1" applyFill="1" applyBorder="1" applyAlignment="1">
      <alignment horizontal="center" vertical="center"/>
    </xf>
    <xf numFmtId="0" fontId="2" fillId="0" borderId="0" xfId="3" applyProtection="1"/>
    <xf numFmtId="0" fontId="45" fillId="0" borderId="0" xfId="3" applyFont="1" applyProtection="1"/>
    <xf numFmtId="0" fontId="2" fillId="0" borderId="0" xfId="3" applyFont="1" applyAlignment="1" applyProtection="1">
      <alignment vertical="top"/>
    </xf>
    <xf numFmtId="0" fontId="2" fillId="0" borderId="0" xfId="3" applyFont="1" applyAlignment="1" applyProtection="1">
      <alignment vertical="top" wrapText="1"/>
    </xf>
    <xf numFmtId="0" fontId="5" fillId="13" borderId="0" xfId="0" applyFont="1" applyFill="1" applyBorder="1" applyAlignment="1"/>
    <xf numFmtId="0" fontId="3" fillId="12" borderId="0" xfId="0" applyFont="1" applyFill="1" applyBorder="1" applyAlignment="1">
      <alignment horizontal="right"/>
    </xf>
    <xf numFmtId="0" fontId="3" fillId="4" borderId="0" xfId="0" applyFont="1" applyFill="1" applyAlignment="1">
      <alignment horizontal="right"/>
    </xf>
    <xf numFmtId="0" fontId="0" fillId="4" borderId="2" xfId="0" applyFill="1" applyBorder="1" applyAlignment="1">
      <alignment horizontal="left"/>
    </xf>
    <xf numFmtId="3" fontId="11" fillId="2" borderId="0" xfId="0" applyNumberFormat="1" applyFont="1" applyFill="1" applyAlignment="1">
      <alignment horizontal="left"/>
    </xf>
    <xf numFmtId="9" fontId="0" fillId="21" borderId="0" xfId="2" applyFont="1" applyFill="1"/>
    <xf numFmtId="9" fontId="0" fillId="24" borderId="0" xfId="2" applyFont="1" applyFill="1"/>
    <xf numFmtId="165" fontId="0" fillId="20" borderId="0" xfId="0" applyNumberFormat="1" applyFill="1"/>
    <xf numFmtId="0" fontId="5" fillId="13" borderId="0" xfId="0" applyFont="1" applyFill="1" applyBorder="1" applyAlignment="1"/>
    <xf numFmtId="0" fontId="0" fillId="30" borderId="0" xfId="0" applyFont="1" applyFill="1" applyAlignment="1">
      <alignment horizontal="center"/>
    </xf>
    <xf numFmtId="0" fontId="0" fillId="30" borderId="0" xfId="0" applyFill="1" applyAlignment="1">
      <alignment horizontal="right"/>
    </xf>
    <xf numFmtId="0" fontId="3" fillId="21" borderId="0" xfId="0" applyFont="1" applyFill="1"/>
    <xf numFmtId="0" fontId="0" fillId="16" borderId="5" xfId="0" applyFill="1" applyBorder="1" applyProtection="1">
      <protection locked="0"/>
    </xf>
    <xf numFmtId="1" fontId="3" fillId="6" borderId="1" xfId="0" applyNumberFormat="1" applyFont="1" applyFill="1" applyBorder="1" applyAlignment="1">
      <alignment horizontal="center" vertical="center"/>
    </xf>
    <xf numFmtId="0" fontId="3" fillId="2" borderId="0" xfId="0" quotePrefix="1" applyFont="1" applyFill="1" applyAlignment="1">
      <alignment horizontal="left" vertical="top" indent="2"/>
    </xf>
    <xf numFmtId="0" fontId="11" fillId="2" borderId="0" xfId="0" applyFont="1" applyFill="1" applyAlignment="1">
      <alignment horizontal="center" vertical="center"/>
    </xf>
    <xf numFmtId="0" fontId="11" fillId="2" borderId="48" xfId="0" applyFont="1" applyFill="1" applyBorder="1" applyAlignment="1">
      <alignment horizontal="center" vertical="center"/>
    </xf>
    <xf numFmtId="0" fontId="3" fillId="2" borderId="0" xfId="0" applyFont="1" applyFill="1" applyAlignment="1">
      <alignment horizontal="left" vertical="center"/>
    </xf>
    <xf numFmtId="0" fontId="6" fillId="2" borderId="0" xfId="0" applyFont="1" applyFill="1" applyAlignment="1">
      <alignment horizontal="left" vertical="center"/>
    </xf>
    <xf numFmtId="0" fontId="16" fillId="2" borderId="0" xfId="0" applyFont="1" applyFill="1" applyAlignment="1">
      <alignment horizontal="center" vertical="center"/>
    </xf>
    <xf numFmtId="0" fontId="3" fillId="2" borderId="0" xfId="0" applyFont="1" applyFill="1" applyBorder="1" applyAlignment="1">
      <alignment horizontal="center" vertical="center"/>
    </xf>
    <xf numFmtId="0" fontId="0" fillId="2" borderId="0" xfId="0" applyFill="1" applyBorder="1"/>
    <xf numFmtId="0" fontId="0" fillId="2" borderId="0" xfId="0" applyFill="1" applyBorder="1" applyAlignment="1">
      <alignment horizontal="center"/>
    </xf>
    <xf numFmtId="0" fontId="44" fillId="2" borderId="0" xfId="0" applyFont="1" applyFill="1" applyBorder="1"/>
    <xf numFmtId="0" fontId="44" fillId="2" borderId="48" xfId="0" applyFont="1" applyFill="1" applyBorder="1"/>
    <xf numFmtId="0" fontId="55" fillId="28" borderId="0" xfId="0" applyFont="1" applyFill="1"/>
    <xf numFmtId="2" fontId="0" fillId="21" borderId="0" xfId="0" applyNumberFormat="1" applyFill="1" applyBorder="1" applyAlignment="1">
      <alignment horizontal="center" vertical="center"/>
    </xf>
    <xf numFmtId="2" fontId="0" fillId="21" borderId="9" xfId="0" applyNumberFormat="1" applyFill="1" applyBorder="1" applyAlignment="1">
      <alignment horizontal="center" vertical="center"/>
    </xf>
    <xf numFmtId="0" fontId="3" fillId="0" borderId="7" xfId="0" applyFont="1" applyBorder="1" applyAlignment="1">
      <alignment vertical="center"/>
    </xf>
    <xf numFmtId="0" fontId="3" fillId="15" borderId="9" xfId="0" applyFont="1" applyFill="1" applyBorder="1"/>
    <xf numFmtId="0" fontId="3" fillId="2" borderId="0" xfId="0" applyFont="1" applyFill="1" applyAlignment="1">
      <alignment horizontal="left" indent="2"/>
    </xf>
    <xf numFmtId="0" fontId="0" fillId="22" borderId="0" xfId="0" applyFill="1" applyAlignment="1">
      <alignment vertical="center"/>
    </xf>
    <xf numFmtId="167" fontId="0" fillId="22" borderId="0" xfId="0" applyNumberFormat="1" applyFill="1" applyAlignment="1">
      <alignment vertical="center"/>
    </xf>
    <xf numFmtId="2" fontId="0" fillId="0" borderId="11" xfId="0" applyNumberFormat="1" applyFill="1" applyBorder="1" applyAlignment="1">
      <alignment vertical="center"/>
    </xf>
    <xf numFmtId="0" fontId="0" fillId="30" borderId="0" xfId="0" applyFill="1"/>
    <xf numFmtId="0" fontId="3" fillId="0" borderId="13" xfId="0" applyFont="1" applyFill="1" applyBorder="1"/>
    <xf numFmtId="0" fontId="3" fillId="0" borderId="14" xfId="0" applyFont="1" applyFill="1" applyBorder="1"/>
    <xf numFmtId="9" fontId="0" fillId="30" borderId="0" xfId="0" applyNumberFormat="1" applyFill="1"/>
    <xf numFmtId="9" fontId="0" fillId="5" borderId="1" xfId="2" applyFont="1" applyFill="1" applyBorder="1" applyAlignment="1" applyProtection="1">
      <alignment horizontal="center" vertical="center"/>
      <protection locked="0"/>
    </xf>
    <xf numFmtId="0" fontId="56" fillId="2" borderId="0" xfId="0" applyFont="1" applyFill="1"/>
    <xf numFmtId="0" fontId="57" fillId="2" borderId="0" xfId="0" applyFont="1" applyFill="1" applyBorder="1"/>
    <xf numFmtId="0" fontId="57" fillId="2" borderId="0" xfId="0" applyFont="1" applyFill="1" applyBorder="1" applyAlignment="1">
      <alignment horizontal="center"/>
    </xf>
    <xf numFmtId="0" fontId="57" fillId="2" borderId="0" xfId="0" applyFont="1" applyFill="1"/>
    <xf numFmtId="1" fontId="0" fillId="21" borderId="0" xfId="0" applyNumberFormat="1" applyFill="1"/>
    <xf numFmtId="0" fontId="58" fillId="2" borderId="0" xfId="0" applyFont="1" applyFill="1" applyAlignment="1">
      <alignment vertical="center"/>
    </xf>
    <xf numFmtId="0" fontId="24" fillId="2" borderId="0" xfId="0" applyFont="1" applyFill="1" applyAlignment="1">
      <alignment horizontal="right" vertical="center"/>
    </xf>
    <xf numFmtId="0" fontId="0" fillId="20" borderId="0" xfId="0" applyFill="1" applyProtection="1"/>
    <xf numFmtId="0" fontId="3" fillId="20" borderId="9" xfId="0" applyFont="1" applyFill="1" applyBorder="1" applyProtection="1"/>
    <xf numFmtId="0" fontId="3" fillId="20" borderId="11" xfId="0" applyFont="1" applyFill="1" applyBorder="1" applyProtection="1"/>
    <xf numFmtId="0" fontId="0" fillId="20" borderId="11" xfId="0" applyFill="1" applyBorder="1" applyProtection="1"/>
    <xf numFmtId="0" fontId="3" fillId="20" borderId="8" xfId="0" applyFont="1" applyFill="1" applyBorder="1" applyProtection="1"/>
    <xf numFmtId="0" fontId="0" fillId="20" borderId="6" xfId="0" applyFill="1" applyBorder="1" applyProtection="1"/>
    <xf numFmtId="0" fontId="0" fillId="20" borderId="0" xfId="0" applyFill="1" applyBorder="1" applyProtection="1"/>
    <xf numFmtId="0" fontId="0" fillId="20" borderId="2" xfId="0" applyFill="1" applyBorder="1" applyProtection="1"/>
    <xf numFmtId="0" fontId="3" fillId="20" borderId="10" xfId="0" applyFont="1" applyFill="1" applyBorder="1" applyProtection="1"/>
    <xf numFmtId="0" fontId="0" fillId="20" borderId="7" xfId="0" applyFill="1" applyBorder="1" applyProtection="1"/>
    <xf numFmtId="0" fontId="0" fillId="20" borderId="12" xfId="0" applyFill="1" applyBorder="1" applyProtection="1"/>
    <xf numFmtId="3" fontId="0" fillId="22" borderId="6" xfId="0" applyNumberFormat="1" applyFill="1" applyBorder="1" applyProtection="1"/>
    <xf numFmtId="0" fontId="0" fillId="22" borderId="0" xfId="0" applyFill="1" applyBorder="1" applyProtection="1"/>
    <xf numFmtId="0" fontId="0" fillId="22" borderId="7" xfId="0" applyFill="1" applyBorder="1" applyProtection="1"/>
    <xf numFmtId="0" fontId="0" fillId="22" borderId="0" xfId="0" applyFill="1" applyProtection="1"/>
    <xf numFmtId="0" fontId="0" fillId="22" borderId="6" xfId="0" applyFill="1" applyBorder="1" applyProtection="1"/>
    <xf numFmtId="3" fontId="0" fillId="22" borderId="0" xfId="0" applyNumberFormat="1" applyFill="1" applyProtection="1"/>
    <xf numFmtId="3" fontId="0" fillId="22" borderId="0" xfId="0" applyNumberFormat="1" applyFill="1" applyBorder="1" applyProtection="1"/>
    <xf numFmtId="3" fontId="0" fillId="22" borderId="7" xfId="0" applyNumberFormat="1" applyFill="1" applyBorder="1" applyProtection="1"/>
    <xf numFmtId="0" fontId="33" fillId="2" borderId="0" xfId="0" applyFont="1" applyFill="1" applyAlignment="1">
      <alignment horizontal="center" vertical="top" wrapText="1"/>
    </xf>
    <xf numFmtId="0" fontId="0" fillId="4" borderId="0" xfId="0" applyFill="1" applyAlignment="1">
      <alignment horizontal="center"/>
    </xf>
    <xf numFmtId="3" fontId="0" fillId="22" borderId="0" xfId="0" applyNumberFormat="1" applyFill="1"/>
    <xf numFmtId="0" fontId="3" fillId="30" borderId="0" xfId="0" applyFont="1" applyFill="1"/>
    <xf numFmtId="3" fontId="0" fillId="20" borderId="0" xfId="0" applyNumberFormat="1" applyFill="1"/>
    <xf numFmtId="0" fontId="3" fillId="20" borderId="0" xfId="0" quotePrefix="1" applyFont="1" applyFill="1"/>
    <xf numFmtId="0" fontId="3" fillId="2" borderId="0" xfId="0" applyFont="1" applyFill="1" applyAlignment="1">
      <alignment horizontal="left" vertical="center"/>
    </xf>
    <xf numFmtId="0" fontId="0" fillId="22" borderId="0" xfId="0" applyFill="1" applyAlignment="1">
      <alignment horizontal="right"/>
    </xf>
    <xf numFmtId="0" fontId="30" fillId="0" borderId="0" xfId="0" applyFont="1"/>
    <xf numFmtId="0" fontId="0" fillId="23" borderId="0" xfId="0" applyFill="1" applyAlignment="1">
      <alignment horizontal="center"/>
    </xf>
    <xf numFmtId="0" fontId="3" fillId="22" borderId="0" xfId="0" applyFont="1" applyFill="1" applyAlignment="1">
      <alignment horizontal="center"/>
    </xf>
    <xf numFmtId="3" fontId="11" fillId="2" borderId="0" xfId="0" applyNumberFormat="1" applyFont="1" applyFill="1" applyAlignment="1">
      <alignment horizontal="right"/>
    </xf>
    <xf numFmtId="3" fontId="0" fillId="22" borderId="0" xfId="0" applyNumberFormat="1" applyFill="1" applyAlignment="1">
      <alignment horizontal="center"/>
    </xf>
    <xf numFmtId="0" fontId="3" fillId="23" borderId="0" xfId="0" applyFont="1" applyFill="1" applyAlignment="1">
      <alignment horizontal="right"/>
    </xf>
    <xf numFmtId="0" fontId="3" fillId="23" borderId="0" xfId="0" applyFont="1" applyFill="1" applyAlignment="1">
      <alignment horizontal="right" wrapText="1"/>
    </xf>
    <xf numFmtId="3" fontId="3" fillId="23" borderId="0" xfId="0" applyNumberFormat="1" applyFont="1" applyFill="1" applyAlignment="1">
      <alignment horizontal="center"/>
    </xf>
    <xf numFmtId="0" fontId="21" fillId="20" borderId="0" xfId="1" applyFont="1" applyFill="1" applyAlignment="1" applyProtection="1">
      <alignment horizontal="center"/>
    </xf>
    <xf numFmtId="0" fontId="3" fillId="2" borderId="0" xfId="0" applyFont="1" applyFill="1" applyBorder="1" applyAlignment="1">
      <alignment horizontal="right" vertical="center" indent="1"/>
    </xf>
    <xf numFmtId="0" fontId="3" fillId="2" borderId="0" xfId="0" applyFont="1" applyFill="1" applyAlignment="1">
      <alignment horizontal="left" vertical="center"/>
    </xf>
    <xf numFmtId="0" fontId="6" fillId="20" borderId="0" xfId="0" applyFont="1" applyFill="1" applyAlignment="1">
      <alignment horizontal="center"/>
    </xf>
    <xf numFmtId="3" fontId="3" fillId="26" borderId="6" xfId="0" applyNumberFormat="1" applyFont="1" applyFill="1" applyBorder="1" applyAlignment="1">
      <alignment horizontal="center"/>
    </xf>
    <xf numFmtId="3" fontId="3" fillId="26" borderId="0" xfId="0" applyNumberFormat="1" applyFont="1" applyFill="1" applyBorder="1" applyAlignment="1">
      <alignment horizontal="center"/>
    </xf>
    <xf numFmtId="3" fontId="3" fillId="26" borderId="7" xfId="0" applyNumberFormat="1" applyFont="1" applyFill="1" applyBorder="1" applyAlignment="1">
      <alignment horizontal="center"/>
    </xf>
    <xf numFmtId="1" fontId="0" fillId="23" borderId="0" xfId="0" applyNumberFormat="1" applyFill="1" applyAlignment="1">
      <alignment horizontal="center"/>
    </xf>
    <xf numFmtId="0" fontId="3" fillId="28" borderId="2" xfId="0" applyFont="1" applyFill="1" applyBorder="1" applyAlignment="1">
      <alignment horizontal="center"/>
    </xf>
    <xf numFmtId="0" fontId="3" fillId="28" borderId="11" xfId="0" applyFont="1" applyFill="1" applyBorder="1" applyAlignment="1">
      <alignment horizontal="center"/>
    </xf>
    <xf numFmtId="0" fontId="3" fillId="28" borderId="12" xfId="0" applyFont="1" applyFill="1" applyBorder="1" applyAlignment="1">
      <alignment horizontal="center"/>
    </xf>
    <xf numFmtId="0" fontId="61" fillId="2" borderId="0" xfId="0" applyFont="1" applyFill="1" applyAlignment="1">
      <alignment vertical="top"/>
    </xf>
    <xf numFmtId="0" fontId="61" fillId="2" borderId="0" xfId="0" applyFont="1" applyFill="1"/>
    <xf numFmtId="0" fontId="67" fillId="2" borderId="0" xfId="0" applyFont="1" applyFill="1"/>
    <xf numFmtId="0" fontId="67" fillId="2" borderId="0" xfId="0" applyFont="1" applyFill="1" applyAlignment="1">
      <alignment horizontal="center"/>
    </xf>
    <xf numFmtId="0" fontId="0" fillId="20" borderId="2" xfId="0" applyFont="1" applyFill="1" applyBorder="1"/>
    <xf numFmtId="0" fontId="0" fillId="28" borderId="0" xfId="0" applyFill="1" applyAlignment="1">
      <alignment vertical="center"/>
    </xf>
    <xf numFmtId="0" fontId="16" fillId="28" borderId="0" xfId="0" applyFont="1" applyFill="1" applyAlignment="1">
      <alignment horizontal="center" vertical="center"/>
    </xf>
    <xf numFmtId="165" fontId="0" fillId="28" borderId="0" xfId="0" applyNumberFormat="1" applyFill="1" applyAlignment="1">
      <alignment vertical="center"/>
    </xf>
    <xf numFmtId="2" fontId="0" fillId="28" borderId="0" xfId="0" applyNumberFormat="1" applyFill="1" applyAlignment="1">
      <alignment vertical="center"/>
    </xf>
    <xf numFmtId="0" fontId="0" fillId="28" borderId="0" xfId="0" applyFill="1" applyAlignment="1">
      <alignment horizontal="right" vertical="center"/>
    </xf>
    <xf numFmtId="0" fontId="17" fillId="28" borderId="0" xfId="0" applyFont="1" applyFill="1" applyAlignment="1">
      <alignment vertical="center"/>
    </xf>
    <xf numFmtId="0" fontId="27" fillId="28" borderId="0" xfId="0" applyFont="1" applyFill="1"/>
    <xf numFmtId="3" fontId="0" fillId="28" borderId="0" xfId="0" applyNumberFormat="1" applyFill="1"/>
    <xf numFmtId="0" fontId="18" fillId="28" borderId="0" xfId="0" applyFont="1" applyFill="1" applyAlignment="1" applyProtection="1">
      <alignment vertical="center"/>
    </xf>
    <xf numFmtId="0" fontId="6" fillId="20" borderId="0" xfId="0" applyFont="1" applyFill="1"/>
    <xf numFmtId="0" fontId="0" fillId="20" borderId="5" xfId="0" applyFill="1" applyBorder="1"/>
    <xf numFmtId="0" fontId="0" fillId="20" borderId="7" xfId="0" applyFill="1" applyBorder="1"/>
    <xf numFmtId="0" fontId="0" fillId="30" borderId="5" xfId="0" applyFill="1" applyBorder="1"/>
    <xf numFmtId="0" fontId="0" fillId="30" borderId="7" xfId="0" applyFill="1" applyBorder="1"/>
    <xf numFmtId="0" fontId="0" fillId="20" borderId="3" xfId="0" applyFill="1" applyBorder="1"/>
    <xf numFmtId="0" fontId="0" fillId="20" borderId="4" xfId="0" applyFill="1" applyBorder="1"/>
    <xf numFmtId="0" fontId="0" fillId="20" borderId="6" xfId="0" applyFill="1" applyBorder="1"/>
    <xf numFmtId="0" fontId="0" fillId="20" borderId="0" xfId="0" applyFill="1" applyBorder="1"/>
    <xf numFmtId="0" fontId="0" fillId="20" borderId="8" xfId="0" applyFill="1" applyBorder="1"/>
    <xf numFmtId="0" fontId="0" fillId="20" borderId="9" xfId="0" applyFill="1" applyBorder="1"/>
    <xf numFmtId="0" fontId="0" fillId="20" borderId="10" xfId="0" applyFill="1" applyBorder="1"/>
    <xf numFmtId="0" fontId="6" fillId="20" borderId="8" xfId="0" applyFont="1" applyFill="1" applyBorder="1"/>
    <xf numFmtId="0" fontId="0" fillId="20" borderId="0" xfId="0" applyFill="1" applyAlignment="1">
      <alignment horizontal="center"/>
    </xf>
    <xf numFmtId="0" fontId="0" fillId="20" borderId="3" xfId="0" applyFill="1" applyBorder="1" applyAlignment="1">
      <alignment horizontal="center"/>
    </xf>
    <xf numFmtId="0" fontId="0" fillId="20" borderId="4" xfId="0" applyFill="1" applyBorder="1" applyAlignment="1">
      <alignment horizontal="center"/>
    </xf>
    <xf numFmtId="0" fontId="0" fillId="20" borderId="5" xfId="0" applyFill="1" applyBorder="1" applyAlignment="1">
      <alignment horizontal="center"/>
    </xf>
    <xf numFmtId="1" fontId="0" fillId="28" borderId="0" xfId="0" applyNumberFormat="1" applyFill="1"/>
    <xf numFmtId="0" fontId="3" fillId="28" borderId="0" xfId="0" applyFont="1" applyFill="1"/>
    <xf numFmtId="170" fontId="0" fillId="28" borderId="0" xfId="0" applyNumberFormat="1" applyFill="1"/>
    <xf numFmtId="0" fontId="70" fillId="28" borderId="0" xfId="0" applyFont="1" applyFill="1" applyAlignment="1">
      <alignment vertical="center"/>
    </xf>
    <xf numFmtId="0" fontId="66" fillId="2" borderId="0" xfId="0" applyFont="1" applyFill="1" applyBorder="1" applyAlignment="1">
      <alignment horizontal="left"/>
    </xf>
    <xf numFmtId="0" fontId="65" fillId="2" borderId="0" xfId="0" applyFont="1" applyFill="1" applyBorder="1" applyAlignment="1">
      <alignment horizontal="left" vertical="center"/>
    </xf>
    <xf numFmtId="0" fontId="65" fillId="25" borderId="1" xfId="0" applyFont="1" applyFill="1" applyBorder="1" applyAlignment="1" applyProtection="1">
      <alignment horizontal="center" vertical="center"/>
      <protection locked="0"/>
    </xf>
    <xf numFmtId="0" fontId="66" fillId="2" borderId="0" xfId="0" applyFont="1" applyFill="1" applyBorder="1" applyAlignment="1">
      <alignment horizontal="left" vertical="top"/>
    </xf>
    <xf numFmtId="0" fontId="65" fillId="2" borderId="0" xfId="0" applyFont="1" applyFill="1" applyAlignment="1">
      <alignment vertical="center"/>
    </xf>
    <xf numFmtId="0" fontId="66" fillId="2" borderId="3" xfId="0" applyFont="1" applyFill="1" applyBorder="1" applyAlignment="1">
      <alignment horizontal="left" vertical="center"/>
    </xf>
    <xf numFmtId="0" fontId="65" fillId="2" borderId="4" xfId="0" applyFont="1" applyFill="1" applyBorder="1" applyAlignment="1">
      <alignment horizontal="left" vertical="center"/>
    </xf>
    <xf numFmtId="0" fontId="65" fillId="2" borderId="4" xfId="0" applyFont="1" applyFill="1" applyBorder="1" applyAlignment="1">
      <alignment vertical="center"/>
    </xf>
    <xf numFmtId="0" fontId="65" fillId="2" borderId="5" xfId="0" applyFont="1" applyFill="1" applyBorder="1" applyAlignment="1">
      <alignment vertical="center"/>
    </xf>
    <xf numFmtId="0" fontId="65" fillId="2" borderId="6" xfId="0" applyFont="1" applyFill="1" applyBorder="1" applyAlignment="1">
      <alignment horizontal="left" vertical="center"/>
    </xf>
    <xf numFmtId="0" fontId="65" fillId="7" borderId="1" xfId="0" applyFont="1" applyFill="1" applyBorder="1" applyAlignment="1" applyProtection="1">
      <alignment horizontal="center" vertical="center"/>
      <protection locked="0"/>
    </xf>
    <xf numFmtId="0" fontId="65" fillId="2" borderId="7" xfId="0" applyFont="1" applyFill="1" applyBorder="1" applyAlignment="1">
      <alignment horizontal="left" vertical="center"/>
    </xf>
    <xf numFmtId="0" fontId="65" fillId="2" borderId="8" xfId="0" applyFont="1" applyFill="1" applyBorder="1" applyAlignment="1">
      <alignment horizontal="left" vertical="center"/>
    </xf>
    <xf numFmtId="0" fontId="65" fillId="2" borderId="9" xfId="0" applyFont="1" applyFill="1" applyBorder="1" applyAlignment="1">
      <alignment horizontal="left" vertical="center"/>
    </xf>
    <xf numFmtId="0" fontId="65" fillId="2" borderId="10" xfId="0" applyFont="1" applyFill="1" applyBorder="1" applyAlignment="1">
      <alignment horizontal="left" vertical="center"/>
    </xf>
    <xf numFmtId="0" fontId="65" fillId="2" borderId="4" xfId="0" applyFont="1" applyFill="1" applyBorder="1" applyAlignment="1">
      <alignment horizontal="center" vertical="center"/>
    </xf>
    <xf numFmtId="0" fontId="65" fillId="2" borderId="5" xfId="0" applyFont="1" applyFill="1" applyBorder="1" applyAlignment="1">
      <alignment horizontal="left" vertical="center"/>
    </xf>
    <xf numFmtId="0" fontId="65" fillId="19" borderId="1" xfId="0" applyFont="1" applyFill="1" applyBorder="1" applyAlignment="1" applyProtection="1">
      <alignment horizontal="center" vertical="center"/>
      <protection locked="0"/>
    </xf>
    <xf numFmtId="1" fontId="0" fillId="6" borderId="1" xfId="0" applyNumberFormat="1" applyFill="1" applyBorder="1" applyAlignment="1">
      <alignment vertical="center"/>
    </xf>
    <xf numFmtId="165" fontId="0" fillId="26" borderId="1" xfId="0" applyNumberFormat="1" applyFill="1" applyBorder="1" applyAlignment="1" applyProtection="1">
      <alignment horizontal="center" vertical="center"/>
    </xf>
    <xf numFmtId="0" fontId="0" fillId="6" borderId="1" xfId="0" applyNumberFormat="1" applyFill="1" applyBorder="1" applyAlignment="1" applyProtection="1">
      <alignment horizontal="center" vertical="center"/>
    </xf>
    <xf numFmtId="3" fontId="67" fillId="6" borderId="1" xfId="0" applyNumberFormat="1" applyFont="1" applyFill="1" applyBorder="1" applyAlignment="1">
      <alignment horizontal="right"/>
    </xf>
    <xf numFmtId="0" fontId="5" fillId="2" borderId="9" xfId="0" applyFont="1" applyFill="1" applyBorder="1" applyAlignment="1">
      <alignment horizontal="right"/>
    </xf>
    <xf numFmtId="0" fontId="5" fillId="2" borderId="51" xfId="0" applyFont="1" applyFill="1" applyBorder="1" applyAlignment="1">
      <alignment horizontal="right"/>
    </xf>
    <xf numFmtId="1" fontId="0" fillId="6" borderId="2" xfId="0" applyNumberFormat="1" applyFill="1" applyBorder="1" applyAlignment="1">
      <alignment horizontal="right"/>
    </xf>
    <xf numFmtId="1" fontId="0" fillId="6" borderId="11" xfId="0" applyNumberFormat="1" applyFill="1" applyBorder="1" applyAlignment="1">
      <alignment horizontal="right"/>
    </xf>
    <xf numFmtId="1" fontId="0" fillId="6" borderId="53" xfId="0" applyNumberFormat="1" applyFill="1" applyBorder="1" applyAlignment="1">
      <alignment horizontal="right"/>
    </xf>
    <xf numFmtId="1" fontId="0" fillId="6" borderId="1" xfId="0" applyNumberFormat="1" applyFill="1" applyBorder="1" applyAlignment="1">
      <alignment horizontal="right"/>
    </xf>
    <xf numFmtId="0" fontId="5" fillId="2" borderId="70" xfId="0" applyFont="1" applyFill="1" applyBorder="1" applyAlignment="1">
      <alignment horizontal="right"/>
    </xf>
    <xf numFmtId="0" fontId="5" fillId="2" borderId="67" xfId="0" applyFont="1" applyFill="1" applyBorder="1" applyAlignment="1">
      <alignment horizontal="right"/>
    </xf>
    <xf numFmtId="1" fontId="0" fillId="6" borderId="3" xfId="0" applyNumberFormat="1" applyFill="1" applyBorder="1" applyAlignment="1">
      <alignment horizontal="right"/>
    </xf>
    <xf numFmtId="1" fontId="0" fillId="6" borderId="4" xfId="0" applyNumberFormat="1" applyFill="1" applyBorder="1" applyAlignment="1">
      <alignment horizontal="right"/>
    </xf>
    <xf numFmtId="1" fontId="0" fillId="6" borderId="72" xfId="0" applyNumberFormat="1" applyFill="1" applyBorder="1" applyAlignment="1">
      <alignment horizontal="right"/>
    </xf>
    <xf numFmtId="1" fontId="0" fillId="6" borderId="31" xfId="0" applyNumberFormat="1" applyFill="1" applyBorder="1" applyAlignment="1">
      <alignment horizontal="right"/>
    </xf>
    <xf numFmtId="1" fontId="0" fillId="6" borderId="28" xfId="0" applyNumberFormat="1" applyFill="1" applyBorder="1" applyAlignment="1">
      <alignment horizontal="right"/>
    </xf>
    <xf numFmtId="1" fontId="0" fillId="6" borderId="71" xfId="0" applyNumberFormat="1" applyFill="1" applyBorder="1" applyAlignment="1">
      <alignment horizontal="right"/>
    </xf>
    <xf numFmtId="1" fontId="5" fillId="6" borderId="2" xfId="0" applyNumberFormat="1" applyFont="1" applyFill="1" applyBorder="1" applyAlignment="1">
      <alignment horizontal="right"/>
    </xf>
    <xf numFmtId="1" fontId="5" fillId="6" borderId="11" xfId="0" applyNumberFormat="1" applyFont="1" applyFill="1" applyBorder="1" applyAlignment="1">
      <alignment horizontal="right"/>
    </xf>
    <xf numFmtId="1" fontId="5" fillId="6" borderId="53" xfId="0" applyNumberFormat="1" applyFont="1" applyFill="1" applyBorder="1" applyAlignment="1">
      <alignment horizontal="right"/>
    </xf>
    <xf numFmtId="1" fontId="44" fillId="6" borderId="2" xfId="0" applyNumberFormat="1" applyFont="1" applyFill="1" applyBorder="1" applyAlignment="1">
      <alignment horizontal="right"/>
    </xf>
    <xf numFmtId="1" fontId="44" fillId="6" borderId="11" xfId="0" applyNumberFormat="1" applyFont="1" applyFill="1" applyBorder="1" applyAlignment="1">
      <alignment horizontal="right"/>
    </xf>
    <xf numFmtId="1" fontId="44" fillId="6" borderId="53" xfId="0" applyNumberFormat="1" applyFont="1" applyFill="1" applyBorder="1" applyAlignment="1">
      <alignment horizontal="right"/>
    </xf>
    <xf numFmtId="1" fontId="5" fillId="6" borderId="1" xfId="0" applyNumberFormat="1" applyFont="1" applyFill="1" applyBorder="1" applyAlignment="1">
      <alignment horizontal="right"/>
    </xf>
    <xf numFmtId="0" fontId="5" fillId="2" borderId="0" xfId="0" applyFont="1" applyFill="1" applyBorder="1" applyAlignment="1">
      <alignment horizontal="right"/>
    </xf>
    <xf numFmtId="0" fontId="5" fillId="2" borderId="72" xfId="0" applyFont="1" applyFill="1" applyBorder="1" applyAlignment="1">
      <alignment horizontal="right"/>
    </xf>
    <xf numFmtId="0" fontId="5" fillId="2" borderId="4" xfId="0" applyFont="1" applyFill="1" applyBorder="1" applyAlignment="1">
      <alignment horizontal="right"/>
    </xf>
    <xf numFmtId="0" fontId="0" fillId="2" borderId="48" xfId="0" applyFill="1" applyBorder="1" applyAlignment="1">
      <alignment horizontal="right"/>
    </xf>
    <xf numFmtId="1" fontId="3" fillId="6" borderId="1" xfId="0" applyNumberFormat="1" applyFont="1" applyFill="1" applyBorder="1" applyAlignment="1">
      <alignment horizontal="right"/>
    </xf>
    <xf numFmtId="0" fontId="0" fillId="2" borderId="28" xfId="0" applyFill="1" applyBorder="1" applyAlignment="1">
      <alignment horizontal="right"/>
    </xf>
    <xf numFmtId="0" fontId="0" fillId="2" borderId="71" xfId="0" applyFill="1" applyBorder="1" applyAlignment="1">
      <alignment horizontal="right"/>
    </xf>
    <xf numFmtId="1" fontId="0" fillId="2" borderId="4" xfId="0" applyNumberFormat="1" applyFill="1" applyBorder="1" applyAlignment="1">
      <alignment horizontal="right"/>
    </xf>
    <xf numFmtId="1" fontId="0" fillId="2" borderId="48" xfId="0" applyNumberFormat="1" applyFill="1" applyBorder="1" applyAlignment="1">
      <alignment horizontal="right"/>
    </xf>
    <xf numFmtId="1" fontId="0" fillId="2" borderId="0" xfId="0" applyNumberFormat="1" applyFill="1" applyBorder="1" applyAlignment="1">
      <alignment horizontal="right"/>
    </xf>
    <xf numFmtId="1" fontId="0" fillId="2" borderId="9" xfId="0" applyNumberFormat="1" applyFill="1" applyBorder="1" applyAlignment="1">
      <alignment horizontal="right"/>
    </xf>
    <xf numFmtId="1" fontId="0" fillId="2" borderId="51" xfId="0" applyNumberFormat="1" applyFill="1" applyBorder="1" applyAlignment="1">
      <alignment horizontal="right"/>
    </xf>
    <xf numFmtId="0" fontId="0" fillId="2" borderId="4" xfId="0" applyFill="1" applyBorder="1" applyAlignment="1">
      <alignment horizontal="right"/>
    </xf>
    <xf numFmtId="0" fontId="0" fillId="2" borderId="72" xfId="0" applyFill="1" applyBorder="1" applyAlignment="1">
      <alignment horizontal="right"/>
    </xf>
    <xf numFmtId="0" fontId="0" fillId="2" borderId="70" xfId="0" applyFill="1" applyBorder="1" applyAlignment="1">
      <alignment horizontal="right"/>
    </xf>
    <xf numFmtId="0" fontId="0" fillId="2" borderId="67" xfId="0" applyFill="1" applyBorder="1" applyAlignment="1">
      <alignment horizontal="right"/>
    </xf>
    <xf numFmtId="1" fontId="5" fillId="2" borderId="0" xfId="0" applyNumberFormat="1" applyFont="1" applyFill="1" applyBorder="1" applyAlignment="1">
      <alignment horizontal="right"/>
    </xf>
    <xf numFmtId="1" fontId="5" fillId="2" borderId="48" xfId="0" applyNumberFormat="1" applyFont="1" applyFill="1" applyBorder="1" applyAlignment="1">
      <alignment horizontal="right"/>
    </xf>
    <xf numFmtId="0" fontId="44" fillId="2" borderId="0" xfId="0" applyFont="1" applyFill="1" applyBorder="1" applyAlignment="1">
      <alignment horizontal="right"/>
    </xf>
    <xf numFmtId="1" fontId="44" fillId="2" borderId="0" xfId="0" applyNumberFormat="1" applyFont="1" applyFill="1" applyBorder="1" applyAlignment="1">
      <alignment horizontal="right"/>
    </xf>
    <xf numFmtId="1" fontId="44" fillId="2" borderId="48" xfId="0" applyNumberFormat="1" applyFont="1" applyFill="1" applyBorder="1" applyAlignment="1">
      <alignment horizontal="right"/>
    </xf>
    <xf numFmtId="1" fontId="5" fillId="6" borderId="105" xfId="0" applyNumberFormat="1" applyFont="1" applyFill="1" applyBorder="1" applyAlignment="1">
      <alignment horizontal="right"/>
    </xf>
    <xf numFmtId="1" fontId="0" fillId="6" borderId="105" xfId="0" applyNumberFormat="1" applyFill="1" applyBorder="1" applyAlignment="1">
      <alignment horizontal="right"/>
    </xf>
    <xf numFmtId="0" fontId="24" fillId="2" borderId="9" xfId="0" applyFont="1" applyFill="1" applyBorder="1" applyAlignment="1">
      <alignment horizontal="right"/>
    </xf>
    <xf numFmtId="0" fontId="24" fillId="2" borderId="51" xfId="0" applyFont="1" applyFill="1" applyBorder="1" applyAlignment="1">
      <alignment horizontal="right"/>
    </xf>
    <xf numFmtId="1" fontId="23" fillId="6" borderId="2" xfId="0" applyNumberFormat="1" applyFont="1" applyFill="1" applyBorder="1" applyAlignment="1">
      <alignment horizontal="right"/>
    </xf>
    <xf numFmtId="1" fontId="23" fillId="6" borderId="1" xfId="0" applyNumberFormat="1" applyFont="1" applyFill="1" applyBorder="1" applyAlignment="1">
      <alignment horizontal="right"/>
    </xf>
    <xf numFmtId="1" fontId="23" fillId="6" borderId="53" xfId="0" applyNumberFormat="1" applyFont="1" applyFill="1" applyBorder="1" applyAlignment="1">
      <alignment horizontal="right"/>
    </xf>
    <xf numFmtId="1" fontId="6" fillId="6" borderId="0" xfId="0" applyNumberFormat="1" applyFont="1" applyFill="1" applyBorder="1" applyAlignment="1">
      <alignment horizontal="right"/>
    </xf>
    <xf numFmtId="1" fontId="6" fillId="6" borderId="48" xfId="0" applyNumberFormat="1" applyFont="1" applyFill="1" applyBorder="1" applyAlignment="1">
      <alignment horizontal="right"/>
    </xf>
    <xf numFmtId="0" fontId="5" fillId="2" borderId="48" xfId="0" applyFont="1" applyFill="1" applyBorder="1" applyAlignment="1">
      <alignment horizontal="right"/>
    </xf>
    <xf numFmtId="165" fontId="6" fillId="6" borderId="1" xfId="0" applyNumberFormat="1" applyFont="1" applyFill="1" applyBorder="1"/>
    <xf numFmtId="165" fontId="6" fillId="2" borderId="0" xfId="0" applyNumberFormat="1" applyFont="1" applyFill="1"/>
    <xf numFmtId="165" fontId="0" fillId="2" borderId="0" xfId="0" applyNumberFormat="1" applyFill="1" applyAlignment="1">
      <alignment horizontal="left" vertical="center"/>
    </xf>
    <xf numFmtId="165" fontId="0" fillId="6" borderId="1" xfId="0" applyNumberFormat="1" applyFill="1" applyBorder="1"/>
    <xf numFmtId="165" fontId="0" fillId="2" borderId="0" xfId="0" applyNumberFormat="1" applyFill="1"/>
    <xf numFmtId="165" fontId="11" fillId="2" borderId="0" xfId="0" applyNumberFormat="1" applyFont="1" applyFill="1" applyAlignment="1">
      <alignment horizontal="center"/>
    </xf>
    <xf numFmtId="165" fontId="7" fillId="6" borderId="1" xfId="0" applyNumberFormat="1" applyFont="1" applyFill="1" applyBorder="1" applyAlignment="1">
      <alignment horizontal="right"/>
    </xf>
    <xf numFmtId="0" fontId="3" fillId="6" borderId="1" xfId="0" applyNumberFormat="1" applyFont="1" applyFill="1" applyBorder="1" applyAlignment="1">
      <alignment horizontal="right"/>
    </xf>
    <xf numFmtId="0" fontId="3" fillId="23" borderId="0" xfId="0" applyFont="1" applyFill="1" applyAlignment="1">
      <alignment horizontal="center"/>
    </xf>
    <xf numFmtId="0" fontId="0" fillId="23" borderId="0" xfId="0" applyFill="1" applyAlignment="1">
      <alignment horizontal="center"/>
    </xf>
    <xf numFmtId="0" fontId="3" fillId="22" borderId="0" xfId="0" applyFont="1" applyFill="1" applyAlignment="1">
      <alignment horizontal="center"/>
    </xf>
    <xf numFmtId="165" fontId="0" fillId="6" borderId="1" xfId="0" applyNumberFormat="1" applyFill="1" applyBorder="1" applyAlignment="1">
      <alignment horizontal="right"/>
    </xf>
    <xf numFmtId="165" fontId="3" fillId="6" borderId="1" xfId="0" applyNumberFormat="1" applyFont="1" applyFill="1" applyBorder="1" applyAlignment="1">
      <alignment horizontal="right"/>
    </xf>
    <xf numFmtId="165" fontId="5" fillId="6" borderId="1" xfId="0" applyNumberFormat="1" applyFont="1" applyFill="1" applyBorder="1" applyAlignment="1">
      <alignment horizontal="right"/>
    </xf>
    <xf numFmtId="168" fontId="0" fillId="26" borderId="1" xfId="0" applyNumberFormat="1" applyFill="1" applyBorder="1" applyAlignment="1">
      <alignment horizontal="center" vertical="center"/>
    </xf>
    <xf numFmtId="0" fontId="3" fillId="30" borderId="0" xfId="0" applyFont="1" applyFill="1" applyAlignment="1">
      <alignment horizontal="center"/>
    </xf>
    <xf numFmtId="0" fontId="0" fillId="30" borderId="0" xfId="0" applyFill="1" applyAlignment="1">
      <alignment horizontal="center"/>
    </xf>
    <xf numFmtId="0" fontId="3" fillId="31" borderId="0" xfId="0" applyFont="1" applyFill="1" applyAlignment="1" applyProtection="1">
      <alignment horizontal="right"/>
    </xf>
    <xf numFmtId="0" fontId="3" fillId="0" borderId="38" xfId="0" applyFont="1" applyBorder="1" applyProtection="1"/>
    <xf numFmtId="0" fontId="3" fillId="20" borderId="0" xfId="0" applyFont="1" applyFill="1" applyAlignment="1">
      <alignment vertical="center"/>
    </xf>
    <xf numFmtId="0" fontId="3" fillId="22" borderId="0" xfId="0" applyFont="1" applyFill="1" applyProtection="1"/>
    <xf numFmtId="0" fontId="3" fillId="22" borderId="0" xfId="0" applyFont="1" applyFill="1" applyAlignment="1" applyProtection="1">
      <alignment horizontal="center"/>
    </xf>
    <xf numFmtId="0" fontId="3" fillId="22" borderId="0" xfId="0" applyFont="1" applyFill="1" applyAlignment="1">
      <alignment vertical="center"/>
    </xf>
    <xf numFmtId="0" fontId="3" fillId="0" borderId="12" xfId="0" applyFont="1" applyFill="1" applyBorder="1" applyAlignment="1" applyProtection="1">
      <alignment horizontal="center"/>
      <protection locked="0"/>
    </xf>
    <xf numFmtId="0" fontId="3" fillId="0" borderId="0" xfId="0" applyFont="1" applyAlignment="1" applyProtection="1">
      <alignment horizontal="right"/>
    </xf>
    <xf numFmtId="0" fontId="3" fillId="2" borderId="0" xfId="0" applyFont="1" applyFill="1" applyAlignment="1">
      <alignment horizontal="left" vertical="center"/>
    </xf>
    <xf numFmtId="9" fontId="3" fillId="26" borderId="6" xfId="0" applyNumberFormat="1" applyFont="1" applyFill="1" applyBorder="1" applyAlignment="1">
      <alignment horizontal="center"/>
    </xf>
    <xf numFmtId="9" fontId="3" fillId="26" borderId="0" xfId="0" applyNumberFormat="1" applyFont="1" applyFill="1" applyBorder="1" applyAlignment="1">
      <alignment horizontal="center"/>
    </xf>
    <xf numFmtId="9" fontId="3" fillId="26" borderId="7" xfId="0" applyNumberFormat="1" applyFont="1" applyFill="1" applyBorder="1" applyAlignment="1">
      <alignment horizontal="center"/>
    </xf>
    <xf numFmtId="165" fontId="0" fillId="6" borderId="1" xfId="0" applyNumberFormat="1" applyFill="1" applyBorder="1" applyAlignment="1" applyProtection="1">
      <alignment horizontal="center" vertical="center"/>
    </xf>
    <xf numFmtId="1" fontId="0" fillId="6" borderId="1" xfId="0" applyNumberFormat="1" applyFill="1" applyBorder="1" applyAlignment="1" applyProtection="1">
      <alignment horizontal="center" vertical="center"/>
    </xf>
    <xf numFmtId="0" fontId="0" fillId="0" borderId="0" xfId="0" applyFill="1" applyAlignment="1">
      <alignment horizontal="center"/>
    </xf>
    <xf numFmtId="0" fontId="0" fillId="0" borderId="0" xfId="0" applyFill="1" applyBorder="1" applyAlignment="1">
      <alignment horizontal="center"/>
    </xf>
    <xf numFmtId="0" fontId="0" fillId="0" borderId="0" xfId="0" applyAlignment="1">
      <alignment horizontal="center"/>
    </xf>
    <xf numFmtId="0" fontId="39" fillId="28" borderId="0" xfId="0" applyFont="1" applyFill="1" applyAlignment="1">
      <alignment horizontal="right"/>
    </xf>
    <xf numFmtId="0" fontId="39" fillId="28" borderId="0" xfId="0" applyFont="1" applyFill="1" applyAlignment="1">
      <alignment horizontal="center"/>
    </xf>
    <xf numFmtId="0" fontId="39" fillId="28" borderId="0" xfId="0" applyFont="1" applyFill="1" applyAlignment="1">
      <alignment horizontal="left"/>
    </xf>
    <xf numFmtId="0" fontId="0" fillId="0" borderId="6" xfId="0" applyFill="1" applyBorder="1" applyAlignment="1">
      <alignment horizontal="center"/>
    </xf>
    <xf numFmtId="2" fontId="0" fillId="16" borderId="6" xfId="0" applyNumberFormat="1" applyFill="1" applyBorder="1" applyAlignment="1" applyProtection="1">
      <alignment horizontal="center"/>
      <protection locked="0"/>
    </xf>
    <xf numFmtId="2" fontId="0" fillId="24" borderId="0" xfId="0" applyNumberFormat="1" applyFill="1" applyAlignment="1" applyProtection="1">
      <alignment horizontal="center"/>
      <protection locked="0"/>
    </xf>
    <xf numFmtId="0" fontId="0" fillId="19" borderId="1" xfId="0" applyFill="1" applyBorder="1" applyProtection="1">
      <protection locked="0"/>
    </xf>
    <xf numFmtId="0" fontId="0" fillId="32" borderId="0" xfId="0" applyFill="1"/>
    <xf numFmtId="0" fontId="3" fillId="32" borderId="0" xfId="0" applyFont="1" applyFill="1" applyAlignment="1">
      <alignment horizontal="left"/>
    </xf>
    <xf numFmtId="0" fontId="0" fillId="20" borderId="0" xfId="0" applyFill="1" applyAlignment="1">
      <alignment horizontal="left"/>
    </xf>
    <xf numFmtId="0" fontId="3" fillId="20" borderId="0" xfId="0" applyFont="1" applyFill="1" applyAlignment="1">
      <alignment horizontal="center"/>
    </xf>
    <xf numFmtId="2" fontId="0" fillId="21" borderId="0" xfId="0" applyNumberFormat="1" applyFill="1" applyAlignment="1">
      <alignment horizontal="center"/>
    </xf>
    <xf numFmtId="0" fontId="0" fillId="20" borderId="0" xfId="0" applyFill="1" applyAlignment="1">
      <alignment horizontal="right"/>
    </xf>
    <xf numFmtId="0" fontId="0" fillId="2" borderId="0" xfId="0" applyFill="1" applyBorder="1" applyAlignment="1">
      <alignment horizontal="center" vertical="center"/>
    </xf>
    <xf numFmtId="0" fontId="3" fillId="23" borderId="0" xfId="0" applyFont="1" applyFill="1" applyAlignment="1">
      <alignment horizontal="center"/>
    </xf>
    <xf numFmtId="0" fontId="0" fillId="23" borderId="0" xfId="0" applyFill="1" applyAlignment="1">
      <alignment horizontal="center"/>
    </xf>
    <xf numFmtId="0" fontId="0" fillId="4" borderId="0" xfId="0" applyFill="1" applyAlignment="1">
      <alignment horizontal="center"/>
    </xf>
    <xf numFmtId="0" fontId="5" fillId="13" borderId="0" xfId="0" applyFont="1" applyFill="1" applyAlignment="1">
      <alignment horizontal="left"/>
    </xf>
    <xf numFmtId="0" fontId="3" fillId="0" borderId="0" xfId="0" applyFont="1" applyAlignment="1">
      <alignment horizontal="center"/>
    </xf>
    <xf numFmtId="0" fontId="5" fillId="32" borderId="0" xfId="0" applyFont="1" applyFill="1"/>
    <xf numFmtId="0" fontId="3" fillId="32" borderId="0" xfId="0" applyFont="1" applyFill="1"/>
    <xf numFmtId="0" fontId="3" fillId="32" borderId="0" xfId="0" quotePrefix="1" applyFont="1" applyFill="1"/>
    <xf numFmtId="0" fontId="3" fillId="0" borderId="0" xfId="0" applyFont="1" applyFill="1" applyAlignment="1">
      <alignment horizontal="right"/>
    </xf>
    <xf numFmtId="0" fontId="3" fillId="20" borderId="0" xfId="0" applyFont="1" applyFill="1" applyAlignment="1">
      <alignment horizontal="center"/>
    </xf>
    <xf numFmtId="165" fontId="3" fillId="24" borderId="0" xfId="0" applyNumberFormat="1" applyFont="1" applyFill="1" applyAlignment="1" applyProtection="1">
      <alignment horizontal="right"/>
      <protection locked="0"/>
    </xf>
    <xf numFmtId="165" fontId="0" fillId="24" borderId="0" xfId="0" applyNumberFormat="1" applyFill="1" applyAlignment="1" applyProtection="1">
      <alignment horizontal="right"/>
      <protection locked="0"/>
    </xf>
    <xf numFmtId="165" fontId="0" fillId="24" borderId="0" xfId="0" applyNumberFormat="1" applyFill="1" applyProtection="1">
      <protection locked="0"/>
    </xf>
    <xf numFmtId="0" fontId="3" fillId="20" borderId="0" xfId="0" applyFont="1" applyFill="1" applyAlignment="1">
      <alignment horizontal="center"/>
    </xf>
    <xf numFmtId="0" fontId="0" fillId="2" borderId="133" xfId="0" applyFill="1" applyBorder="1" applyAlignment="1">
      <alignment horizontal="left" vertical="center"/>
    </xf>
    <xf numFmtId="0" fontId="3" fillId="20" borderId="0" xfId="0" applyFont="1" applyFill="1" applyAlignment="1"/>
    <xf numFmtId="1" fontId="0" fillId="20" borderId="0" xfId="0" applyNumberFormat="1" applyFill="1" applyAlignment="1"/>
    <xf numFmtId="1" fontId="5" fillId="20" borderId="0" xfId="0" applyNumberFormat="1" applyFont="1" applyFill="1" applyAlignment="1"/>
    <xf numFmtId="0" fontId="5" fillId="20" borderId="0" xfId="0" applyFont="1" applyFill="1" applyAlignment="1"/>
    <xf numFmtId="0" fontId="0" fillId="20" borderId="0" xfId="0" applyFill="1" applyAlignment="1"/>
    <xf numFmtId="0" fontId="0" fillId="32" borderId="6" xfId="0" applyFill="1" applyBorder="1" applyAlignment="1"/>
    <xf numFmtId="0" fontId="0" fillId="32" borderId="0" xfId="0" applyFill="1" applyBorder="1" applyAlignment="1"/>
    <xf numFmtId="0" fontId="76" fillId="32" borderId="0" xfId="1" applyFont="1" applyFill="1" applyAlignment="1" applyProtection="1"/>
    <xf numFmtId="0" fontId="77" fillId="32" borderId="0" xfId="0" applyFont="1" applyFill="1"/>
    <xf numFmtId="0" fontId="3" fillId="32" borderId="0" xfId="0" applyFont="1" applyFill="1" applyAlignment="1">
      <alignment horizontal="right"/>
    </xf>
    <xf numFmtId="0" fontId="0" fillId="32" borderId="0" xfId="0" applyFill="1" applyBorder="1"/>
    <xf numFmtId="0" fontId="5" fillId="32" borderId="0" xfId="0" applyFont="1" applyFill="1" applyBorder="1"/>
    <xf numFmtId="0" fontId="3" fillId="32" borderId="0" xfId="0" quotePrefix="1" applyFont="1" applyFill="1" applyBorder="1"/>
    <xf numFmtId="0" fontId="3" fillId="32" borderId="0" xfId="0" applyFont="1" applyFill="1" applyBorder="1"/>
    <xf numFmtId="0" fontId="0" fillId="32" borderId="0" xfId="0" quotePrefix="1" applyFill="1"/>
    <xf numFmtId="0" fontId="0" fillId="32" borderId="0" xfId="0" applyFill="1" applyAlignment="1">
      <alignment horizontal="right" wrapText="1"/>
    </xf>
    <xf numFmtId="0" fontId="0" fillId="32" borderId="0" xfId="0" applyFill="1" applyAlignment="1">
      <alignment wrapText="1"/>
    </xf>
    <xf numFmtId="0" fontId="3" fillId="0" borderId="0" xfId="0" quotePrefix="1" applyFont="1" applyFill="1"/>
    <xf numFmtId="0" fontId="3" fillId="0" borderId="0" xfId="0" applyFont="1" applyFill="1" applyBorder="1" applyAlignment="1">
      <alignment horizontal="center"/>
    </xf>
    <xf numFmtId="167" fontId="0" fillId="20" borderId="0" xfId="0" applyNumberFormat="1" applyFill="1"/>
    <xf numFmtId="0" fontId="0" fillId="23" borderId="0" xfId="0" applyFill="1" applyAlignment="1">
      <alignment horizontal="center"/>
    </xf>
    <xf numFmtId="168" fontId="0" fillId="19" borderId="1" xfId="0" applyNumberFormat="1" applyFill="1" applyBorder="1" applyProtection="1">
      <protection locked="0"/>
    </xf>
    <xf numFmtId="168" fontId="0" fillId="0" borderId="1" xfId="0" applyNumberFormat="1" applyFill="1" applyBorder="1" applyProtection="1">
      <protection locked="0"/>
    </xf>
    <xf numFmtId="0" fontId="0" fillId="2" borderId="0" xfId="0" applyFill="1" applyAlignment="1">
      <alignment wrapText="1"/>
    </xf>
    <xf numFmtId="0" fontId="0" fillId="0" borderId="0" xfId="0" applyAlignment="1"/>
    <xf numFmtId="0" fontId="3" fillId="2" borderId="0" xfId="0" applyFont="1" applyFill="1" applyAlignment="1">
      <alignment horizontal="left" vertical="center"/>
    </xf>
    <xf numFmtId="0" fontId="6" fillId="2" borderId="0" xfId="0" applyFont="1" applyFill="1" applyAlignment="1">
      <alignment horizontal="left" vertical="center"/>
    </xf>
    <xf numFmtId="169" fontId="0" fillId="9" borderId="133" xfId="0" applyNumberFormat="1" applyFill="1" applyBorder="1" applyAlignment="1" applyProtection="1">
      <alignment horizontal="center"/>
    </xf>
    <xf numFmtId="3" fontId="0" fillId="0" borderId="133" xfId="0" applyNumberFormat="1" applyBorder="1" applyAlignment="1" applyProtection="1">
      <alignment horizontal="center"/>
    </xf>
    <xf numFmtId="167" fontId="3" fillId="24" borderId="0" xfId="0" applyNumberFormat="1" applyFont="1" applyFill="1"/>
    <xf numFmtId="0" fontId="3" fillId="2" borderId="0" xfId="0" applyFont="1" applyFill="1" applyAlignment="1">
      <alignment horizontal="left" vertical="center"/>
    </xf>
    <xf numFmtId="3" fontId="0" fillId="5" borderId="1" xfId="0" applyNumberFormat="1" applyFill="1" applyBorder="1" applyAlignment="1" applyProtection="1">
      <alignment horizontal="center" vertical="center"/>
      <protection locked="0"/>
    </xf>
    <xf numFmtId="169" fontId="0" fillId="0" borderId="136" xfId="0" applyNumberFormat="1" applyBorder="1" applyAlignment="1" applyProtection="1">
      <alignment horizontal="center"/>
    </xf>
    <xf numFmtId="169" fontId="0" fillId="21" borderId="26" xfId="0" applyNumberFormat="1" applyFill="1" applyBorder="1" applyAlignment="1" applyProtection="1">
      <alignment horizontal="center"/>
    </xf>
    <xf numFmtId="169" fontId="0" fillId="21" borderId="27" xfId="0" applyNumberFormat="1" applyFill="1" applyBorder="1" applyAlignment="1" applyProtection="1">
      <alignment horizontal="center"/>
    </xf>
    <xf numFmtId="3" fontId="0" fillId="24" borderId="0" xfId="0" applyNumberFormat="1" applyFill="1" applyBorder="1" applyAlignment="1" applyProtection="1">
      <alignment horizontal="center"/>
      <protection locked="0"/>
    </xf>
    <xf numFmtId="3" fontId="0" fillId="24" borderId="28" xfId="0" applyNumberFormat="1" applyFill="1" applyBorder="1" applyAlignment="1" applyProtection="1">
      <alignment horizontal="center"/>
      <protection locked="0"/>
    </xf>
    <xf numFmtId="2" fontId="0" fillId="21" borderId="0" xfId="0" applyNumberFormat="1" applyFill="1" applyBorder="1" applyAlignment="1" applyProtection="1">
      <alignment horizontal="center"/>
    </xf>
    <xf numFmtId="0" fontId="6" fillId="0" borderId="0" xfId="0" applyFont="1" applyFill="1" applyAlignment="1">
      <alignment horizontal="left"/>
    </xf>
    <xf numFmtId="0" fontId="6" fillId="0" borderId="3" xfId="0" quotePrefix="1" applyFont="1" applyFill="1" applyBorder="1" applyAlignment="1" applyProtection="1">
      <alignment horizontal="center" vertical="center"/>
    </xf>
    <xf numFmtId="16" fontId="6" fillId="0" borderId="9" xfId="0" quotePrefix="1" applyNumberFormat="1" applyFont="1" applyFill="1" applyBorder="1" applyAlignment="1" applyProtection="1">
      <alignment horizontal="center" vertical="center"/>
    </xf>
    <xf numFmtId="0" fontId="3" fillId="0" borderId="0" xfId="0" applyFont="1" applyFill="1" applyProtection="1"/>
    <xf numFmtId="0" fontId="3" fillId="0" borderId="0" xfId="0" applyFont="1" applyFill="1" applyAlignment="1" applyProtection="1">
      <alignment horizontal="center"/>
    </xf>
    <xf numFmtId="0" fontId="3" fillId="0" borderId="0" xfId="0" applyFont="1" applyFill="1" applyBorder="1" applyProtection="1"/>
    <xf numFmtId="0" fontId="0" fillId="30" borderId="0" xfId="0" applyFill="1" applyAlignment="1">
      <alignment vertical="center"/>
    </xf>
    <xf numFmtId="0" fontId="81" fillId="2" borderId="6" xfId="0" applyFont="1" applyFill="1" applyBorder="1" applyAlignment="1">
      <alignment vertical="center"/>
    </xf>
    <xf numFmtId="0" fontId="81" fillId="2" borderId="0" xfId="0" applyFont="1" applyFill="1" applyAlignment="1">
      <alignment vertical="center"/>
    </xf>
    <xf numFmtId="0" fontId="81" fillId="2" borderId="0" xfId="0" applyFont="1" applyFill="1" applyBorder="1" applyAlignment="1">
      <alignment vertical="center" wrapText="1"/>
    </xf>
    <xf numFmtId="0" fontId="0" fillId="6" borderId="2" xfId="0" applyNumberFormat="1" applyFill="1" applyBorder="1" applyAlignment="1" applyProtection="1">
      <alignment horizontal="center" vertical="center"/>
    </xf>
    <xf numFmtId="0" fontId="0" fillId="2" borderId="0" xfId="0" applyFill="1" applyAlignment="1">
      <alignment horizontal="right" vertical="center"/>
    </xf>
    <xf numFmtId="0" fontId="33" fillId="2" borderId="0" xfId="0" applyFont="1" applyFill="1" applyAlignment="1">
      <alignment horizontal="center" vertical="top" wrapText="1"/>
    </xf>
    <xf numFmtId="0" fontId="89" fillId="2" borderId="0" xfId="0" applyFont="1" applyFill="1" applyAlignment="1">
      <alignment horizontal="left" vertical="center"/>
    </xf>
    <xf numFmtId="0" fontId="90" fillId="2" borderId="0" xfId="0" applyFont="1" applyFill="1" applyAlignment="1">
      <alignment horizontal="left" vertical="center"/>
    </xf>
    <xf numFmtId="0" fontId="5" fillId="2" borderId="0" xfId="0" applyFont="1" applyFill="1" applyAlignment="1">
      <alignment horizontal="right" vertical="center"/>
    </xf>
    <xf numFmtId="0" fontId="0" fillId="5" borderId="1" xfId="0" applyFill="1" applyBorder="1" applyAlignment="1" applyProtection="1">
      <alignment horizontal="center" vertical="top" wrapText="1"/>
      <protection locked="0"/>
    </xf>
    <xf numFmtId="168" fontId="0" fillId="6" borderId="1" xfId="0" applyNumberFormat="1" applyFill="1" applyBorder="1" applyAlignment="1">
      <alignment horizontal="right" vertical="center"/>
    </xf>
    <xf numFmtId="0" fontId="0" fillId="2" borderId="0" xfId="0" applyFill="1" applyAlignment="1">
      <alignment horizontal="right" vertical="center"/>
    </xf>
    <xf numFmtId="0" fontId="33" fillId="2" borderId="0" xfId="0" applyFont="1" applyFill="1" applyAlignment="1">
      <alignment vertical="center" wrapText="1"/>
    </xf>
    <xf numFmtId="0" fontId="0" fillId="2" borderId="0" xfId="0" applyFill="1" applyAlignment="1">
      <alignment vertical="center" wrapText="1"/>
    </xf>
    <xf numFmtId="0" fontId="24" fillId="2" borderId="0" xfId="0" applyFont="1" applyFill="1" applyAlignment="1">
      <alignment vertical="center"/>
    </xf>
    <xf numFmtId="0" fontId="3" fillId="20" borderId="0" xfId="0" applyFont="1" applyFill="1" applyProtection="1"/>
    <xf numFmtId="0" fontId="3" fillId="20" borderId="0" xfId="0" applyFont="1" applyFill="1" applyAlignment="1">
      <alignment horizontal="right"/>
    </xf>
    <xf numFmtId="0" fontId="0" fillId="21" borderId="4" xfId="0" applyFill="1" applyBorder="1" applyProtection="1"/>
    <xf numFmtId="1" fontId="0" fillId="21" borderId="78" xfId="0" applyNumberFormat="1" applyFill="1" applyBorder="1" applyAlignment="1" applyProtection="1">
      <alignment horizontal="right"/>
    </xf>
    <xf numFmtId="1" fontId="0" fillId="21" borderId="13" xfId="0" applyNumberFormat="1" applyFill="1" applyBorder="1" applyAlignment="1" applyProtection="1">
      <alignment horizontal="right"/>
    </xf>
    <xf numFmtId="1" fontId="0" fillId="21" borderId="72" xfId="0" applyNumberFormat="1" applyFill="1" applyBorder="1" applyAlignment="1" applyProtection="1">
      <alignment horizontal="right"/>
    </xf>
    <xf numFmtId="1" fontId="11" fillId="21" borderId="26" xfId="0" applyNumberFormat="1" applyFont="1" applyFill="1" applyBorder="1" applyAlignment="1" applyProtection="1">
      <alignment horizontal="right" wrapText="1"/>
    </xf>
    <xf numFmtId="1" fontId="11" fillId="21" borderId="14" xfId="0" applyNumberFormat="1" applyFont="1" applyFill="1" applyBorder="1" applyAlignment="1" applyProtection="1">
      <alignment horizontal="right" wrapText="1"/>
    </xf>
    <xf numFmtId="1" fontId="11" fillId="21" borderId="48" xfId="0" applyNumberFormat="1" applyFont="1" applyFill="1" applyBorder="1" applyAlignment="1" applyProtection="1">
      <alignment horizontal="right" wrapText="1"/>
    </xf>
    <xf numFmtId="0" fontId="0" fillId="21" borderId="26" xfId="0" applyFill="1" applyBorder="1" applyProtection="1"/>
    <xf numFmtId="0" fontId="0" fillId="21" borderId="0" xfId="0" quotePrefix="1" applyFill="1" applyBorder="1" applyProtection="1"/>
    <xf numFmtId="0" fontId="0" fillId="21" borderId="0" xfId="0" applyFill="1" applyBorder="1" applyProtection="1"/>
    <xf numFmtId="1" fontId="75" fillId="21" borderId="26" xfId="0" applyNumberFormat="1" applyFont="1" applyFill="1" applyBorder="1" applyAlignment="1" applyProtection="1">
      <alignment horizontal="right"/>
    </xf>
    <xf numFmtId="1" fontId="75" fillId="21" borderId="14" xfId="0" applyNumberFormat="1" applyFont="1" applyFill="1" applyBorder="1" applyAlignment="1" applyProtection="1">
      <alignment horizontal="right"/>
    </xf>
    <xf numFmtId="1" fontId="75" fillId="21" borderId="48" xfId="0" applyNumberFormat="1" applyFont="1" applyFill="1" applyBorder="1" applyAlignment="1" applyProtection="1">
      <alignment horizontal="right"/>
    </xf>
    <xf numFmtId="1" fontId="75" fillId="21" borderId="30" xfId="0" applyNumberFormat="1" applyFont="1" applyFill="1" applyBorder="1" applyAlignment="1" applyProtection="1">
      <alignment horizontal="right"/>
    </xf>
    <xf numFmtId="0" fontId="31" fillId="2" borderId="0" xfId="0" applyFont="1" applyFill="1" applyAlignment="1">
      <alignment vertical="center"/>
    </xf>
    <xf numFmtId="0" fontId="3" fillId="22" borderId="0" xfId="0" applyFont="1" applyFill="1" applyAlignment="1" applyProtection="1">
      <alignment horizontal="right"/>
    </xf>
    <xf numFmtId="0" fontId="0" fillId="22" borderId="0" xfId="0" applyFill="1" applyAlignment="1" applyProtection="1">
      <alignment horizontal="right"/>
    </xf>
    <xf numFmtId="0" fontId="25" fillId="2" borderId="0" xfId="0" applyFont="1" applyFill="1" applyAlignment="1">
      <alignment vertical="center" wrapText="1"/>
    </xf>
    <xf numFmtId="0" fontId="0" fillId="0" borderId="0" xfId="0" applyAlignment="1" applyProtection="1">
      <alignment wrapText="1"/>
    </xf>
    <xf numFmtId="0" fontId="0" fillId="20" borderId="0" xfId="0" applyFill="1" applyAlignment="1" applyProtection="1">
      <alignment wrapText="1"/>
    </xf>
    <xf numFmtId="0" fontId="0" fillId="20" borderId="0" xfId="0" applyFill="1" applyAlignment="1" applyProtection="1">
      <alignment horizontal="right"/>
    </xf>
    <xf numFmtId="0" fontId="3" fillId="0" borderId="1" xfId="0" applyFont="1" applyFill="1" applyBorder="1" applyAlignment="1" applyProtection="1">
      <alignment horizontal="center" vertical="center"/>
      <protection locked="0"/>
    </xf>
    <xf numFmtId="165" fontId="3" fillId="6" borderId="1" xfId="0" applyNumberFormat="1" applyFont="1" applyFill="1" applyBorder="1" applyAlignment="1">
      <alignment horizontal="center" vertical="center"/>
    </xf>
    <xf numFmtId="0" fontId="3" fillId="0" borderId="1" xfId="0" applyFont="1" applyFill="1" applyBorder="1" applyAlignment="1" applyProtection="1">
      <alignment horizontal="left" vertical="center"/>
      <protection locked="0"/>
    </xf>
    <xf numFmtId="0" fontId="79" fillId="2" borderId="0" xfId="0" applyFont="1" applyFill="1"/>
    <xf numFmtId="0" fontId="3" fillId="2" borderId="0" xfId="0" applyFont="1" applyFill="1" applyAlignment="1">
      <alignment horizontal="left" vertical="center"/>
    </xf>
    <xf numFmtId="0" fontId="0" fillId="2" borderId="0" xfId="0" applyFill="1" applyBorder="1" applyAlignment="1">
      <alignment horizontal="center" vertical="center"/>
    </xf>
    <xf numFmtId="0" fontId="0" fillId="5" borderId="2" xfId="0" applyFill="1" applyBorder="1" applyAlignment="1" applyProtection="1">
      <alignment horizontal="center" vertical="center"/>
      <protection locked="0"/>
    </xf>
    <xf numFmtId="0" fontId="3" fillId="2" borderId="0" xfId="0" applyFont="1" applyFill="1" applyAlignment="1">
      <alignment horizontal="left" vertical="center"/>
    </xf>
    <xf numFmtId="0" fontId="0" fillId="2" borderId="0" xfId="0" applyFill="1" applyAlignment="1">
      <alignment horizontal="right" vertical="center"/>
    </xf>
    <xf numFmtId="0" fontId="26" fillId="2" borderId="0" xfId="0" applyFont="1" applyFill="1" applyBorder="1" applyAlignment="1">
      <alignment vertical="center"/>
    </xf>
    <xf numFmtId="0" fontId="3" fillId="28" borderId="4" xfId="0" applyFont="1" applyFill="1" applyBorder="1" applyAlignment="1">
      <alignment horizontal="center"/>
    </xf>
    <xf numFmtId="0" fontId="5" fillId="28" borderId="13" xfId="0" applyFont="1" applyFill="1" applyBorder="1" applyAlignment="1">
      <alignment vertical="top" wrapText="1"/>
    </xf>
    <xf numFmtId="0" fontId="5" fillId="28" borderId="14" xfId="0" applyFont="1" applyFill="1" applyBorder="1" applyAlignment="1">
      <alignment vertical="top" wrapText="1"/>
    </xf>
    <xf numFmtId="3" fontId="0" fillId="26" borderId="0" xfId="0" applyNumberFormat="1" applyFill="1" applyBorder="1" applyAlignment="1">
      <alignment horizontal="center"/>
    </xf>
    <xf numFmtId="3" fontId="0" fillId="26" borderId="3" xfId="0" applyNumberFormat="1" applyFill="1" applyBorder="1" applyAlignment="1">
      <alignment horizontal="center"/>
    </xf>
    <xf numFmtId="3" fontId="0" fillId="26" borderId="4" xfId="0" applyNumberFormat="1" applyFill="1" applyBorder="1" applyAlignment="1">
      <alignment horizontal="center"/>
    </xf>
    <xf numFmtId="3" fontId="0" fillId="26" borderId="5" xfId="0" applyNumberFormat="1" applyFill="1" applyBorder="1" applyAlignment="1">
      <alignment horizontal="center"/>
    </xf>
    <xf numFmtId="0" fontId="5" fillId="28" borderId="6" xfId="0" applyFont="1" applyFill="1" applyBorder="1" applyAlignment="1">
      <alignment vertical="top" wrapText="1"/>
    </xf>
    <xf numFmtId="3" fontId="0" fillId="26" borderId="7" xfId="0" applyNumberFormat="1" applyFill="1" applyBorder="1" applyAlignment="1">
      <alignment horizontal="center"/>
    </xf>
    <xf numFmtId="0" fontId="5" fillId="28" borderId="8" xfId="0" applyFont="1" applyFill="1" applyBorder="1"/>
    <xf numFmtId="1" fontId="0" fillId="26" borderId="9" xfId="0" applyNumberFormat="1" applyFill="1" applyBorder="1" applyAlignment="1">
      <alignment horizontal="center"/>
    </xf>
    <xf numFmtId="1" fontId="0" fillId="26" borderId="10" xfId="0" applyNumberFormat="1" applyFill="1" applyBorder="1" applyAlignment="1">
      <alignment horizontal="center"/>
    </xf>
    <xf numFmtId="1" fontId="0" fillId="26" borderId="13" xfId="0" applyNumberFormat="1" applyFill="1" applyBorder="1" applyAlignment="1">
      <alignment horizontal="center"/>
    </xf>
    <xf numFmtId="1" fontId="0" fillId="26" borderId="14" xfId="0" applyNumberFormat="1" applyFill="1" applyBorder="1" applyAlignment="1">
      <alignment horizontal="center"/>
    </xf>
    <xf numFmtId="1" fontId="0" fillId="26" borderId="15" xfId="0" applyNumberFormat="1" applyFill="1" applyBorder="1" applyAlignment="1">
      <alignment horizontal="center"/>
    </xf>
    <xf numFmtId="3" fontId="0" fillId="26" borderId="6" xfId="0" applyNumberFormat="1" applyFill="1" applyBorder="1" applyAlignment="1">
      <alignment horizontal="center"/>
    </xf>
    <xf numFmtId="1" fontId="0" fillId="26" borderId="8" xfId="0" applyNumberFormat="1" applyFill="1" applyBorder="1" applyAlignment="1">
      <alignment horizontal="center"/>
    </xf>
    <xf numFmtId="0" fontId="5" fillId="32" borderId="0" xfId="0" applyFont="1" applyFill="1" applyAlignment="1">
      <alignment wrapText="1"/>
    </xf>
    <xf numFmtId="0" fontId="3" fillId="32" borderId="0" xfId="0" applyFont="1" applyFill="1" applyAlignment="1">
      <alignment wrapText="1"/>
    </xf>
    <xf numFmtId="0" fontId="12" fillId="32" borderId="0" xfId="0" quotePrefix="1" applyFont="1" applyFill="1"/>
    <xf numFmtId="0" fontId="0" fillId="26" borderId="1" xfId="0" applyFill="1" applyBorder="1"/>
    <xf numFmtId="168" fontId="3" fillId="0" borderId="1" xfId="0" applyNumberFormat="1" applyFont="1" applyFill="1" applyBorder="1" applyProtection="1">
      <protection locked="0"/>
    </xf>
    <xf numFmtId="0" fontId="12" fillId="32" borderId="0" xfId="0" applyFont="1" applyFill="1" applyAlignment="1">
      <alignment horizontal="right"/>
    </xf>
    <xf numFmtId="0" fontId="3" fillId="2" borderId="0" xfId="0" applyFont="1" applyFill="1" applyAlignment="1">
      <alignment horizontal="left" vertical="center"/>
    </xf>
    <xf numFmtId="2" fontId="12" fillId="6" borderId="1" xfId="0" applyNumberFormat="1" applyFont="1" applyFill="1" applyBorder="1" applyAlignment="1">
      <alignment vertical="center"/>
    </xf>
    <xf numFmtId="2" fontId="24" fillId="26" borderId="1" xfId="0" applyNumberFormat="1" applyFont="1" applyFill="1" applyBorder="1" applyAlignment="1">
      <alignment horizontal="right" vertical="center"/>
    </xf>
    <xf numFmtId="2" fontId="16" fillId="26" borderId="1" xfId="0" applyNumberFormat="1" applyFont="1" applyFill="1" applyBorder="1" applyAlignment="1">
      <alignment horizontal="right" vertical="center"/>
    </xf>
    <xf numFmtId="0" fontId="11" fillId="2" borderId="0" xfId="0" applyFont="1" applyFill="1" applyAlignment="1">
      <alignment horizontal="right" wrapText="1"/>
    </xf>
    <xf numFmtId="0" fontId="3" fillId="2" borderId="0" xfId="0" applyFont="1" applyFill="1" applyAlignment="1">
      <alignment horizontal="left" vertical="center"/>
    </xf>
    <xf numFmtId="0" fontId="11" fillId="2" borderId="0" xfId="0" applyFont="1" applyFill="1" applyAlignment="1">
      <alignment horizontal="right" vertical="center"/>
    </xf>
    <xf numFmtId="0" fontId="3" fillId="32" borderId="0" xfId="0" applyFont="1" applyFill="1" applyAlignment="1">
      <alignment horizontal="left" indent="1"/>
    </xf>
    <xf numFmtId="0" fontId="0" fillId="32" borderId="0" xfId="0" applyFill="1" applyAlignment="1">
      <alignment horizontal="left" indent="1"/>
    </xf>
    <xf numFmtId="0" fontId="0" fillId="32" borderId="0" xfId="0" applyFill="1" applyAlignment="1">
      <alignment horizontal="left" indent="3"/>
    </xf>
    <xf numFmtId="0" fontId="31" fillId="28" borderId="0" xfId="0" applyFont="1" applyFill="1" applyBorder="1" applyAlignment="1">
      <alignment vertical="top" wrapText="1"/>
    </xf>
    <xf numFmtId="0" fontId="30" fillId="28" borderId="0" xfId="0" applyFont="1" applyFill="1" applyBorder="1" applyAlignment="1">
      <alignment wrapText="1"/>
    </xf>
    <xf numFmtId="0" fontId="0" fillId="28" borderId="0" xfId="0" applyFill="1" applyBorder="1"/>
    <xf numFmtId="0" fontId="0" fillId="28" borderId="6" xfId="0" applyFill="1" applyBorder="1"/>
    <xf numFmtId="0" fontId="3" fillId="28" borderId="0" xfId="0" applyFont="1" applyFill="1" applyBorder="1"/>
    <xf numFmtId="0" fontId="12" fillId="28" borderId="0" xfId="0" applyFont="1" applyFill="1" applyBorder="1"/>
    <xf numFmtId="0" fontId="12" fillId="28" borderId="0" xfId="0" applyFont="1" applyFill="1"/>
    <xf numFmtId="1" fontId="0" fillId="26" borderId="1" xfId="0" applyNumberFormat="1" applyFill="1" applyBorder="1" applyAlignment="1">
      <alignment horizontal="center"/>
    </xf>
    <xf numFmtId="0" fontId="0" fillId="19" borderId="1" xfId="0" applyFill="1" applyBorder="1" applyAlignment="1" applyProtection="1">
      <alignment horizontal="center"/>
      <protection locked="0"/>
    </xf>
    <xf numFmtId="0" fontId="3" fillId="23" borderId="0" xfId="0" applyFont="1" applyFill="1" applyAlignment="1">
      <alignment horizontal="center"/>
    </xf>
    <xf numFmtId="0" fontId="3" fillId="20" borderId="0" xfId="0" applyFont="1" applyFill="1" applyAlignment="1">
      <alignment horizontal="center"/>
    </xf>
    <xf numFmtId="0" fontId="5" fillId="13" borderId="0" xfId="0" applyFont="1" applyFill="1" applyBorder="1" applyAlignment="1">
      <alignment horizontal="right"/>
    </xf>
    <xf numFmtId="0" fontId="5" fillId="13" borderId="6" xfId="0" applyFont="1" applyFill="1" applyBorder="1" applyAlignment="1">
      <alignment horizontal="left"/>
    </xf>
    <xf numFmtId="0" fontId="0" fillId="15" borderId="0" xfId="0" applyFill="1" applyAlignment="1">
      <alignment wrapText="1"/>
    </xf>
    <xf numFmtId="0" fontId="5" fillId="13" borderId="3" xfId="0" applyFont="1" applyFill="1" applyBorder="1" applyAlignment="1">
      <alignment horizontal="left"/>
    </xf>
    <xf numFmtId="2" fontId="0" fillId="24" borderId="0" xfId="0" applyNumberFormat="1" applyFill="1" applyBorder="1" applyAlignment="1" applyProtection="1">
      <alignment horizontal="center"/>
    </xf>
    <xf numFmtId="2" fontId="0" fillId="21" borderId="0" xfId="0" applyNumberFormat="1" applyFill="1"/>
    <xf numFmtId="0" fontId="3" fillId="2" borderId="0" xfId="0" applyFont="1" applyFill="1" applyAlignment="1">
      <alignment horizontal="left" vertical="center"/>
    </xf>
    <xf numFmtId="0" fontId="16" fillId="2" borderId="0" xfId="0" applyFont="1" applyFill="1" applyAlignment="1">
      <alignment horizontal="center" vertical="center"/>
    </xf>
    <xf numFmtId="0" fontId="0" fillId="2" borderId="0" xfId="0" applyFill="1" applyAlignment="1">
      <alignment horizontal="right" vertical="center"/>
    </xf>
    <xf numFmtId="0" fontId="3" fillId="28" borderId="0" xfId="0" applyFont="1" applyFill="1" applyAlignment="1">
      <alignment vertical="center"/>
    </xf>
    <xf numFmtId="0" fontId="0" fillId="27" borderId="1" xfId="0" applyFill="1" applyBorder="1" applyAlignment="1" applyProtection="1">
      <alignment horizontal="center" vertical="center"/>
    </xf>
    <xf numFmtId="0" fontId="3" fillId="2" borderId="0" xfId="0" applyFont="1" applyFill="1" applyAlignment="1">
      <alignment horizontal="left" vertical="center"/>
    </xf>
    <xf numFmtId="0" fontId="3" fillId="32" borderId="0" xfId="0" applyFont="1" applyFill="1" applyAlignment="1">
      <alignment horizontal="center"/>
    </xf>
    <xf numFmtId="0" fontId="0" fillId="2" borderId="0" xfId="0" applyFill="1" applyAlignment="1">
      <alignment horizontal="right" vertical="center"/>
    </xf>
    <xf numFmtId="0" fontId="33" fillId="2" borderId="0" xfId="0" applyFont="1" applyFill="1" applyAlignment="1">
      <alignment horizontal="center" vertical="top" wrapText="1"/>
    </xf>
    <xf numFmtId="0" fontId="0" fillId="2" borderId="0" xfId="0" applyFill="1" applyAlignment="1">
      <alignment horizontal="right" vertical="center"/>
    </xf>
    <xf numFmtId="0" fontId="3" fillId="2" borderId="0" xfId="0" applyFont="1" applyFill="1" applyBorder="1" applyAlignment="1">
      <alignment horizontal="left" vertical="center" wrapText="1"/>
    </xf>
    <xf numFmtId="0" fontId="3" fillId="2" borderId="0" xfId="0" applyFont="1" applyFill="1" applyAlignment="1">
      <alignment horizontal="center" vertical="center" wrapText="1"/>
    </xf>
    <xf numFmtId="0" fontId="32" fillId="0" borderId="0" xfId="0" applyFont="1" applyAlignment="1">
      <alignment horizontal="left" vertical="center" wrapText="1"/>
    </xf>
    <xf numFmtId="0" fontId="0" fillId="33" borderId="0" xfId="0" applyFill="1" applyAlignment="1" applyProtection="1">
      <alignment horizontal="center" vertical="center"/>
      <protection locked="0"/>
    </xf>
    <xf numFmtId="0" fontId="3" fillId="2" borderId="0" xfId="0" applyFont="1" applyFill="1" applyBorder="1" applyAlignment="1">
      <alignment horizontal="left" vertical="center" wrapText="1"/>
    </xf>
    <xf numFmtId="0" fontId="3" fillId="34" borderId="0" xfId="0" applyFont="1" applyFill="1" applyBorder="1" applyAlignment="1">
      <alignment horizontal="left" vertical="center" wrapText="1"/>
    </xf>
    <xf numFmtId="168" fontId="0" fillId="34" borderId="1" xfId="0" applyNumberFormat="1" applyFill="1" applyBorder="1" applyAlignment="1">
      <alignment horizontal="right" vertical="center"/>
    </xf>
    <xf numFmtId="0" fontId="3" fillId="2" borderId="0" xfId="0" applyFont="1" applyFill="1" applyAlignment="1">
      <alignment horizontal="left" vertical="center"/>
    </xf>
    <xf numFmtId="0" fontId="0" fillId="2" borderId="0" xfId="0" applyFill="1" applyAlignment="1">
      <alignment horizontal="right" vertical="center"/>
    </xf>
    <xf numFmtId="0" fontId="0" fillId="2" borderId="0" xfId="0" applyFill="1" applyBorder="1" applyAlignment="1">
      <alignment horizontal="left" wrapText="1"/>
    </xf>
    <xf numFmtId="0" fontId="94" fillId="2" borderId="0" xfId="0" quotePrefix="1" applyFont="1" applyFill="1" applyAlignment="1">
      <alignment horizontal="right" vertical="center"/>
    </xf>
    <xf numFmtId="0" fontId="94" fillId="2" borderId="0" xfId="0" applyFont="1" applyFill="1" applyAlignment="1">
      <alignment vertical="center"/>
    </xf>
    <xf numFmtId="0" fontId="94" fillId="2" borderId="0" xfId="0" applyFont="1" applyFill="1" applyAlignment="1">
      <alignment horizontal="right" vertical="center"/>
    </xf>
    <xf numFmtId="0" fontId="96" fillId="0" borderId="0" xfId="0" applyFont="1" applyFill="1" applyProtection="1"/>
    <xf numFmtId="0" fontId="97" fillId="2" borderId="0" xfId="0" applyFont="1" applyFill="1" applyAlignment="1">
      <alignment horizontal="center"/>
    </xf>
    <xf numFmtId="9" fontId="0" fillId="24" borderId="4" xfId="2" applyFont="1" applyFill="1" applyBorder="1"/>
    <xf numFmtId="0" fontId="11" fillId="20" borderId="0" xfId="0" applyFont="1" applyFill="1"/>
    <xf numFmtId="0" fontId="0" fillId="2" borderId="0" xfId="0" applyFill="1" applyAlignment="1">
      <alignment horizontal="right" vertical="center"/>
    </xf>
    <xf numFmtId="0" fontId="0" fillId="0" borderId="0" xfId="0" applyFill="1" applyAlignment="1">
      <alignment horizontal="center"/>
    </xf>
    <xf numFmtId="0" fontId="3" fillId="2" borderId="0" xfId="0" applyFont="1" applyFill="1" applyBorder="1" applyAlignment="1">
      <alignment horizontal="center" vertical="center"/>
    </xf>
    <xf numFmtId="3" fontId="0" fillId="26" borderId="1" xfId="0" applyNumberFormat="1" applyFill="1" applyBorder="1"/>
    <xf numFmtId="167" fontId="0" fillId="30" borderId="0" xfId="0" applyNumberFormat="1" applyFill="1"/>
    <xf numFmtId="0" fontId="42" fillId="2" borderId="0" xfId="0" quotePrefix="1" applyFont="1" applyFill="1" applyAlignment="1">
      <alignment horizontal="left" vertical="center"/>
    </xf>
    <xf numFmtId="0" fontId="3" fillId="5" borderId="1" xfId="0" applyFont="1" applyFill="1" applyBorder="1" applyAlignment="1" applyProtection="1">
      <alignment horizontal="center" vertical="top" wrapText="1"/>
      <protection locked="0"/>
    </xf>
    <xf numFmtId="0" fontId="3" fillId="35" borderId="0" xfId="0" applyFont="1" applyFill="1"/>
    <xf numFmtId="0" fontId="3" fillId="36" borderId="0" xfId="0" applyFont="1" applyFill="1"/>
    <xf numFmtId="0" fontId="0" fillId="37" borderId="0" xfId="0" applyFill="1"/>
    <xf numFmtId="0" fontId="71" fillId="2" borderId="0" xfId="0" applyFont="1" applyFill="1" applyAlignment="1">
      <alignment horizontal="left" vertical="center"/>
    </xf>
    <xf numFmtId="0" fontId="3" fillId="0" borderId="6" xfId="0" applyFont="1" applyBorder="1" applyAlignment="1">
      <alignment wrapText="1"/>
    </xf>
    <xf numFmtId="1" fontId="33" fillId="2" borderId="0" xfId="0" applyNumberFormat="1" applyFont="1" applyFill="1" applyBorder="1" applyAlignment="1">
      <alignment horizontal="center"/>
    </xf>
    <xf numFmtId="0" fontId="3" fillId="2" borderId="0" xfId="0" applyFont="1" applyFill="1" applyAlignment="1">
      <alignment vertical="top"/>
    </xf>
    <xf numFmtId="0" fontId="0" fillId="2" borderId="28" xfId="0" applyFill="1" applyBorder="1"/>
    <xf numFmtId="0" fontId="2" fillId="26" borderId="0" xfId="3" applyFill="1" applyProtection="1"/>
    <xf numFmtId="0" fontId="2" fillId="26" borderId="0" xfId="3" applyFill="1" applyBorder="1" applyProtection="1"/>
    <xf numFmtId="0" fontId="47" fillId="26" borderId="0" xfId="3" applyFont="1" applyFill="1" applyBorder="1" applyAlignment="1" applyProtection="1">
      <alignment horizontal="center" vertical="center"/>
    </xf>
    <xf numFmtId="0" fontId="2" fillId="26" borderId="0" xfId="3" applyFill="1" applyBorder="1" applyAlignment="1" applyProtection="1">
      <alignment horizontal="center" vertical="center"/>
    </xf>
    <xf numFmtId="0" fontId="48" fillId="26" borderId="0" xfId="3" applyFont="1" applyFill="1" applyAlignment="1" applyProtection="1">
      <alignment horizontal="left"/>
    </xf>
    <xf numFmtId="0" fontId="49" fillId="26" borderId="0" xfId="3" applyFont="1" applyFill="1" applyAlignment="1" applyProtection="1">
      <alignment horizontal="left" vertical="center"/>
    </xf>
    <xf numFmtId="0" fontId="50" fillId="26" borderId="0" xfId="3" applyFont="1" applyFill="1" applyAlignment="1" applyProtection="1">
      <alignment horizontal="left" vertical="center"/>
    </xf>
    <xf numFmtId="0" fontId="2" fillId="26" borderId="0" xfId="3" applyFill="1" applyAlignment="1" applyProtection="1">
      <alignment horizontal="left" vertical="center"/>
    </xf>
    <xf numFmtId="0" fontId="2" fillId="26" borderId="0" xfId="3" applyFill="1" applyAlignment="1" applyProtection="1">
      <alignment horizontal="left" vertical="top"/>
    </xf>
    <xf numFmtId="0" fontId="49" fillId="26" borderId="0" xfId="3" applyFont="1" applyFill="1" applyAlignment="1" applyProtection="1">
      <alignment horizontal="left" vertical="top"/>
    </xf>
    <xf numFmtId="0" fontId="2" fillId="26" borderId="0" xfId="3" applyFont="1" applyFill="1" applyAlignment="1" applyProtection="1">
      <alignment vertical="top"/>
    </xf>
    <xf numFmtId="0" fontId="2" fillId="26" borderId="0" xfId="3" applyFont="1" applyFill="1" applyAlignment="1" applyProtection="1">
      <alignment vertical="top" wrapText="1"/>
    </xf>
    <xf numFmtId="0" fontId="0" fillId="26" borderId="0" xfId="0" applyFill="1" applyAlignment="1" applyProtection="1">
      <alignment vertical="center"/>
    </xf>
    <xf numFmtId="0" fontId="91" fillId="26" borderId="0" xfId="0" applyFont="1" applyFill="1" applyAlignment="1" applyProtection="1">
      <alignment horizontal="right" vertical="center"/>
    </xf>
    <xf numFmtId="0" fontId="24" fillId="26" borderId="0" xfId="0" applyFont="1" applyFill="1" applyAlignment="1" applyProtection="1">
      <alignment vertical="center"/>
    </xf>
    <xf numFmtId="0" fontId="0" fillId="26" borderId="0" xfId="0" applyFill="1" applyAlignment="1" applyProtection="1">
      <alignment horizontal="center" vertical="center"/>
    </xf>
    <xf numFmtId="0" fontId="6" fillId="26" borderId="28" xfId="0" applyFont="1" applyFill="1" applyBorder="1" applyAlignment="1" applyProtection="1">
      <alignment vertical="center"/>
    </xf>
    <xf numFmtId="0" fontId="0" fillId="26" borderId="28" xfId="0" applyFill="1" applyBorder="1" applyAlignment="1" applyProtection="1">
      <alignment vertical="center"/>
    </xf>
    <xf numFmtId="0" fontId="0" fillId="26" borderId="71" xfId="0" applyFill="1" applyBorder="1" applyAlignment="1" applyProtection="1">
      <alignment vertical="center"/>
    </xf>
    <xf numFmtId="0" fontId="0" fillId="26" borderId="0" xfId="0" applyFill="1" applyBorder="1" applyAlignment="1" applyProtection="1">
      <alignment vertical="center"/>
    </xf>
    <xf numFmtId="0" fontId="0" fillId="26" borderId="0" xfId="0" applyFill="1" applyProtection="1"/>
    <xf numFmtId="0" fontId="0" fillId="38" borderId="78" xfId="0" applyFill="1" applyBorder="1" applyAlignment="1" applyProtection="1">
      <alignment horizontal="right" vertical="center"/>
    </xf>
    <xf numFmtId="0" fontId="0" fillId="38" borderId="4" xfId="0" applyFill="1" applyBorder="1" applyAlignment="1" applyProtection="1">
      <alignment horizontal="right" vertical="center"/>
    </xf>
    <xf numFmtId="0" fontId="0" fillId="38" borderId="5" xfId="0" applyFill="1" applyBorder="1" applyAlignment="1" applyProtection="1">
      <alignment horizontal="right" vertical="center"/>
    </xf>
    <xf numFmtId="0" fontId="0" fillId="38" borderId="3" xfId="0" applyFill="1" applyBorder="1" applyAlignment="1" applyProtection="1">
      <alignment horizontal="right" vertical="center"/>
    </xf>
    <xf numFmtId="0" fontId="0" fillId="38" borderId="72" xfId="0" applyFill="1" applyBorder="1" applyAlignment="1" applyProtection="1">
      <alignment horizontal="right" vertical="center"/>
    </xf>
    <xf numFmtId="0" fontId="0" fillId="38" borderId="27" xfId="0" applyFill="1" applyBorder="1" applyAlignment="1" applyProtection="1">
      <alignment horizontal="right" vertical="center"/>
    </xf>
    <xf numFmtId="0" fontId="0" fillId="38" borderId="28" xfId="0" applyFill="1" applyBorder="1" applyAlignment="1" applyProtection="1">
      <alignment horizontal="right" vertical="center"/>
    </xf>
    <xf numFmtId="0" fontId="0" fillId="38" borderId="29" xfId="0" applyFill="1" applyBorder="1" applyAlignment="1" applyProtection="1">
      <alignment horizontal="right" vertical="center"/>
    </xf>
    <xf numFmtId="0" fontId="0" fillId="38" borderId="31" xfId="0" applyFill="1" applyBorder="1" applyAlignment="1" applyProtection="1">
      <alignment horizontal="right" vertical="center"/>
    </xf>
    <xf numFmtId="0" fontId="0" fillId="38" borderId="71" xfId="0" applyFill="1" applyBorder="1" applyAlignment="1" applyProtection="1">
      <alignment horizontal="right" vertical="center"/>
    </xf>
    <xf numFmtId="3" fontId="0" fillId="38" borderId="26" xfId="0" applyNumberFormat="1" applyFill="1" applyBorder="1" applyAlignment="1" applyProtection="1">
      <alignment horizontal="right" vertical="center"/>
    </xf>
    <xf numFmtId="3" fontId="0" fillId="38" borderId="0" xfId="0" applyNumberFormat="1" applyFill="1" applyBorder="1" applyAlignment="1" applyProtection="1">
      <alignment horizontal="right" vertical="center"/>
    </xf>
    <xf numFmtId="3" fontId="0" fillId="38" borderId="7" xfId="0" applyNumberFormat="1" applyFill="1" applyBorder="1" applyAlignment="1" applyProtection="1">
      <alignment horizontal="right" vertical="center"/>
    </xf>
    <xf numFmtId="3" fontId="0" fillId="38" borderId="6" xfId="0" applyNumberFormat="1" applyFill="1" applyBorder="1" applyAlignment="1" applyProtection="1">
      <alignment horizontal="right" vertical="center"/>
    </xf>
    <xf numFmtId="3" fontId="0" fillId="38" borderId="48" xfId="0" applyNumberFormat="1" applyFill="1" applyBorder="1" applyAlignment="1" applyProtection="1">
      <alignment horizontal="right" vertical="center"/>
    </xf>
    <xf numFmtId="3" fontId="0" fillId="38" borderId="0" xfId="0" applyNumberFormat="1" applyFill="1" applyBorder="1" applyAlignment="1" applyProtection="1">
      <alignment vertical="center"/>
    </xf>
    <xf numFmtId="3" fontId="0" fillId="38" borderId="6" xfId="0" applyNumberFormat="1" applyFill="1" applyBorder="1" applyAlignment="1" applyProtection="1">
      <alignment vertical="center"/>
    </xf>
    <xf numFmtId="3" fontId="0" fillId="38" borderId="48" xfId="0" applyNumberFormat="1" applyFill="1" applyBorder="1" applyAlignment="1" applyProtection="1">
      <alignment vertical="center"/>
    </xf>
    <xf numFmtId="3" fontId="0" fillId="38" borderId="50" xfId="0" applyNumberFormat="1" applyFill="1" applyBorder="1" applyAlignment="1" applyProtection="1">
      <alignment horizontal="right" vertical="center"/>
    </xf>
    <xf numFmtId="3" fontId="0" fillId="38" borderId="9" xfId="0" applyNumberFormat="1" applyFill="1" applyBorder="1" applyAlignment="1" applyProtection="1">
      <alignment horizontal="right" vertical="center"/>
    </xf>
    <xf numFmtId="3" fontId="0" fillId="38" borderId="10" xfId="0" applyNumberFormat="1" applyFill="1" applyBorder="1" applyAlignment="1" applyProtection="1">
      <alignment horizontal="right" vertical="center"/>
    </xf>
    <xf numFmtId="3" fontId="0" fillId="38" borderId="8" xfId="0" applyNumberFormat="1" applyFill="1" applyBorder="1" applyAlignment="1" applyProtection="1">
      <alignment horizontal="right" vertical="center"/>
    </xf>
    <xf numFmtId="3" fontId="0" fillId="38" borderId="51" xfId="0" applyNumberFormat="1" applyFill="1" applyBorder="1" applyAlignment="1" applyProtection="1">
      <alignment horizontal="right" vertical="center"/>
    </xf>
    <xf numFmtId="3" fontId="0" fillId="38" borderId="26" xfId="0" applyNumberFormat="1" applyFill="1" applyBorder="1" applyAlignment="1" applyProtection="1">
      <alignment vertical="center"/>
    </xf>
    <xf numFmtId="3" fontId="0" fillId="38" borderId="3" xfId="0" applyNumberFormat="1" applyFill="1" applyBorder="1" applyAlignment="1" applyProtection="1">
      <alignment vertical="center"/>
    </xf>
    <xf numFmtId="3" fontId="0" fillId="38" borderId="4" xfId="0" applyNumberFormat="1" applyFill="1" applyBorder="1" applyAlignment="1" applyProtection="1">
      <alignment vertical="center"/>
    </xf>
    <xf numFmtId="3" fontId="0" fillId="38" borderId="5" xfId="0" applyNumberFormat="1" applyFill="1" applyBorder="1" applyAlignment="1" applyProtection="1">
      <alignment vertical="center"/>
    </xf>
    <xf numFmtId="3" fontId="0" fillId="38" borderId="72" xfId="0" applyNumberFormat="1" applyFill="1" applyBorder="1" applyAlignment="1" applyProtection="1">
      <alignment vertical="center"/>
    </xf>
    <xf numFmtId="3" fontId="0" fillId="38" borderId="8" xfId="0" applyNumberFormat="1" applyFill="1" applyBorder="1" applyAlignment="1" applyProtection="1">
      <alignment vertical="center"/>
    </xf>
    <xf numFmtId="3" fontId="0" fillId="38" borderId="9" xfId="0" applyNumberFormat="1" applyFill="1" applyBorder="1" applyAlignment="1" applyProtection="1">
      <alignment vertical="center"/>
    </xf>
    <xf numFmtId="3" fontId="0" fillId="38" borderId="10" xfId="0" applyNumberFormat="1" applyFill="1" applyBorder="1" applyAlignment="1" applyProtection="1">
      <alignment vertical="center"/>
    </xf>
    <xf numFmtId="3" fontId="0" fillId="38" borderId="51" xfId="0" applyNumberFormat="1" applyFill="1" applyBorder="1" applyAlignment="1" applyProtection="1">
      <alignment vertical="center"/>
    </xf>
    <xf numFmtId="3" fontId="5" fillId="38" borderId="46" xfId="0" applyNumberFormat="1" applyFont="1" applyFill="1" applyBorder="1" applyAlignment="1" applyProtection="1">
      <alignment horizontal="right" vertical="center"/>
    </xf>
    <xf numFmtId="3" fontId="5" fillId="38" borderId="11" xfId="0" applyNumberFormat="1" applyFont="1" applyFill="1" applyBorder="1" applyAlignment="1" applyProtection="1">
      <alignment horizontal="right" vertical="center"/>
    </xf>
    <xf numFmtId="3" fontId="5" fillId="38" borderId="12" xfId="0" applyNumberFormat="1" applyFont="1" applyFill="1" applyBorder="1" applyAlignment="1" applyProtection="1">
      <alignment horizontal="right" vertical="center"/>
    </xf>
    <xf numFmtId="3" fontId="5" fillId="38" borderId="2" xfId="0" applyNumberFormat="1" applyFont="1" applyFill="1" applyBorder="1" applyAlignment="1" applyProtection="1">
      <alignment horizontal="right" vertical="center"/>
    </xf>
    <xf numFmtId="3" fontId="5" fillId="38" borderId="53" xfId="0" applyNumberFormat="1" applyFont="1" applyFill="1" applyBorder="1" applyAlignment="1" applyProtection="1">
      <alignment horizontal="right" vertical="center"/>
    </xf>
    <xf numFmtId="3" fontId="0" fillId="38" borderId="78" xfId="0" applyNumberFormat="1" applyFill="1" applyBorder="1" applyAlignment="1" applyProtection="1">
      <alignment horizontal="right" vertical="center"/>
    </xf>
    <xf numFmtId="3" fontId="0" fillId="38" borderId="4" xfId="0" applyNumberFormat="1" applyFill="1" applyBorder="1" applyAlignment="1" applyProtection="1">
      <alignment horizontal="right" vertical="center"/>
    </xf>
    <xf numFmtId="3" fontId="0" fillId="38" borderId="5" xfId="0" applyNumberFormat="1" applyFill="1" applyBorder="1" applyAlignment="1" applyProtection="1">
      <alignment horizontal="right" vertical="center"/>
    </xf>
    <xf numFmtId="3" fontId="0" fillId="38" borderId="3" xfId="0" applyNumberFormat="1" applyFill="1" applyBorder="1" applyAlignment="1" applyProtection="1">
      <alignment horizontal="right" vertical="center"/>
    </xf>
    <xf numFmtId="3" fontId="0" fillId="38" borderId="72" xfId="0" applyNumberFormat="1" applyFill="1" applyBorder="1" applyAlignment="1" applyProtection="1">
      <alignment horizontal="right" vertical="center"/>
    </xf>
    <xf numFmtId="0" fontId="0" fillId="39" borderId="32" xfId="0" applyFill="1" applyBorder="1" applyAlignment="1" applyProtection="1">
      <alignment vertical="center"/>
    </xf>
    <xf numFmtId="0" fontId="0" fillId="39" borderId="23" xfId="0" applyFill="1" applyBorder="1" applyAlignment="1" applyProtection="1">
      <alignment horizontal="right" vertical="center"/>
    </xf>
    <xf numFmtId="3" fontId="99" fillId="39" borderId="32" xfId="0" applyNumberFormat="1" applyFont="1" applyFill="1" applyBorder="1" applyAlignment="1" applyProtection="1">
      <alignment vertical="center" wrapText="1"/>
    </xf>
    <xf numFmtId="3" fontId="41" fillId="39" borderId="22" xfId="0" applyNumberFormat="1" applyFont="1" applyFill="1" applyBorder="1" applyAlignment="1" applyProtection="1">
      <alignment vertical="center"/>
    </xf>
    <xf numFmtId="3" fontId="7" fillId="39" borderId="22" xfId="0" applyNumberFormat="1" applyFont="1" applyFill="1" applyBorder="1" applyAlignment="1" applyProtection="1">
      <alignment horizontal="right" vertical="center"/>
    </xf>
    <xf numFmtId="3" fontId="7" fillId="39" borderId="23" xfId="0" applyNumberFormat="1" applyFont="1" applyFill="1" applyBorder="1" applyAlignment="1" applyProtection="1">
      <alignment horizontal="right" vertical="center"/>
    </xf>
    <xf numFmtId="3" fontId="7" fillId="39" borderId="45" xfId="0" applyNumberFormat="1" applyFont="1" applyFill="1" applyBorder="1" applyAlignment="1" applyProtection="1">
      <alignment horizontal="right" vertical="center"/>
    </xf>
    <xf numFmtId="0" fontId="0" fillId="39" borderId="26" xfId="0" applyFill="1" applyBorder="1" applyAlignment="1" applyProtection="1">
      <alignment vertical="center"/>
    </xf>
    <xf numFmtId="0" fontId="0" fillId="39" borderId="7" xfId="0" applyFill="1" applyBorder="1" applyAlignment="1" applyProtection="1">
      <alignment horizontal="right" vertical="center"/>
    </xf>
    <xf numFmtId="3" fontId="99" fillId="39" borderId="26" xfId="0" applyNumberFormat="1" applyFont="1" applyFill="1" applyBorder="1" applyAlignment="1" applyProtection="1">
      <alignment horizontal="right" vertical="center"/>
    </xf>
    <xf numFmtId="3" fontId="16" fillId="39" borderId="0" xfId="0" applyNumberFormat="1" applyFont="1" applyFill="1" applyBorder="1" applyAlignment="1" applyProtection="1">
      <alignment horizontal="right" vertical="center"/>
    </xf>
    <xf numFmtId="3" fontId="99" fillId="39" borderId="6" xfId="0" applyNumberFormat="1" applyFont="1" applyFill="1" applyBorder="1" applyAlignment="1" applyProtection="1">
      <alignment horizontal="right" vertical="center"/>
    </xf>
    <xf numFmtId="3" fontId="16" fillId="39" borderId="7" xfId="0" applyNumberFormat="1" applyFont="1" applyFill="1" applyBorder="1" applyAlignment="1" applyProtection="1">
      <alignment horizontal="right" vertical="center"/>
    </xf>
    <xf numFmtId="3" fontId="99" fillId="39" borderId="0" xfId="0" applyNumberFormat="1" applyFont="1" applyFill="1" applyBorder="1" applyAlignment="1" applyProtection="1">
      <alignment horizontal="right" vertical="center"/>
    </xf>
    <xf numFmtId="3" fontId="16" fillId="39" borderId="48" xfId="0" applyNumberFormat="1" applyFont="1" applyFill="1" applyBorder="1" applyAlignment="1" applyProtection="1">
      <alignment horizontal="right" vertical="center"/>
    </xf>
    <xf numFmtId="0" fontId="3" fillId="39" borderId="26" xfId="0" applyFont="1" applyFill="1" applyBorder="1" applyAlignment="1" applyProtection="1">
      <alignment vertical="center"/>
    </xf>
    <xf numFmtId="1" fontId="0" fillId="39" borderId="7" xfId="0" applyNumberFormat="1" applyFill="1" applyBorder="1" applyAlignment="1" applyProtection="1">
      <alignment horizontal="right" vertical="center"/>
    </xf>
    <xf numFmtId="3" fontId="16" fillId="39" borderId="26" xfId="0" applyNumberFormat="1" applyFont="1" applyFill="1" applyBorder="1" applyAlignment="1" applyProtection="1">
      <alignment horizontal="right" vertical="center"/>
    </xf>
    <xf numFmtId="3" fontId="16" fillId="39" borderId="6" xfId="0" applyNumberFormat="1" applyFont="1" applyFill="1" applyBorder="1" applyAlignment="1" applyProtection="1">
      <alignment horizontal="right" vertical="center"/>
    </xf>
    <xf numFmtId="3" fontId="16" fillId="39" borderId="8" xfId="0" applyNumberFormat="1" applyFont="1" applyFill="1" applyBorder="1" applyAlignment="1" applyProtection="1">
      <alignment horizontal="right" vertical="center"/>
    </xf>
    <xf numFmtId="3" fontId="16" fillId="39" borderId="9" xfId="0" applyNumberFormat="1" applyFont="1" applyFill="1" applyBorder="1" applyAlignment="1" applyProtection="1">
      <alignment horizontal="right" vertical="center"/>
    </xf>
    <xf numFmtId="3" fontId="16" fillId="39" borderId="10" xfId="0" applyNumberFormat="1" applyFont="1" applyFill="1" applyBorder="1" applyAlignment="1" applyProtection="1">
      <alignment horizontal="right" vertical="center"/>
    </xf>
    <xf numFmtId="0" fontId="3" fillId="39" borderId="78" xfId="0" applyFont="1" applyFill="1" applyBorder="1" applyAlignment="1" applyProtection="1">
      <alignment vertical="center"/>
    </xf>
    <xf numFmtId="0" fontId="0" fillId="39" borderId="5" xfId="0" applyFill="1" applyBorder="1" applyAlignment="1" applyProtection="1">
      <alignment horizontal="right" vertical="center"/>
    </xf>
    <xf numFmtId="3" fontId="16" fillId="39" borderId="78" xfId="0" applyNumberFormat="1" applyFont="1" applyFill="1" applyBorder="1" applyAlignment="1" applyProtection="1">
      <alignment horizontal="right" vertical="center"/>
    </xf>
    <xf numFmtId="3" fontId="16" fillId="39" borderId="4" xfId="0" applyNumberFormat="1" applyFont="1" applyFill="1" applyBorder="1" applyAlignment="1" applyProtection="1">
      <alignment horizontal="right" vertical="center"/>
    </xf>
    <xf numFmtId="3" fontId="16" fillId="39" borderId="3" xfId="0" applyNumberFormat="1" applyFont="1" applyFill="1" applyBorder="1" applyAlignment="1" applyProtection="1">
      <alignment horizontal="right" vertical="center"/>
    </xf>
    <xf numFmtId="3" fontId="16" fillId="39" borderId="5" xfId="0" applyNumberFormat="1" applyFont="1" applyFill="1" applyBorder="1" applyAlignment="1" applyProtection="1">
      <alignment horizontal="right" vertical="center"/>
    </xf>
    <xf numFmtId="3" fontId="16" fillId="39" borderId="72" xfId="0" applyNumberFormat="1" applyFont="1" applyFill="1" applyBorder="1" applyAlignment="1" applyProtection="1">
      <alignment horizontal="right" vertical="center"/>
    </xf>
    <xf numFmtId="0" fontId="0" fillId="38" borderId="32" xfId="0" applyFill="1" applyBorder="1" applyProtection="1"/>
    <xf numFmtId="0" fontId="0" fillId="38" borderId="22" xfId="0" applyFill="1" applyBorder="1" applyProtection="1"/>
    <xf numFmtId="0" fontId="0" fillId="38" borderId="45" xfId="0" applyFill="1" applyBorder="1" applyProtection="1"/>
    <xf numFmtId="0" fontId="0" fillId="38" borderId="26" xfId="0" applyFill="1" applyBorder="1" applyProtection="1"/>
    <xf numFmtId="0" fontId="0" fillId="38" borderId="0" xfId="0" applyFill="1" applyBorder="1" applyProtection="1"/>
    <xf numFmtId="0" fontId="0" fillId="38" borderId="48" xfId="0" applyFill="1" applyBorder="1" applyProtection="1"/>
    <xf numFmtId="0" fontId="0" fillId="38" borderId="78" xfId="0" applyFill="1" applyBorder="1" applyAlignment="1" applyProtection="1">
      <alignment horizontal="center" vertical="center"/>
    </xf>
    <xf numFmtId="0" fontId="0" fillId="38" borderId="4" xfId="0" applyFill="1" applyBorder="1" applyAlignment="1" applyProtection="1">
      <alignment horizontal="center" vertical="center"/>
    </xf>
    <xf numFmtId="0" fontId="0" fillId="38" borderId="5" xfId="0" applyFill="1" applyBorder="1" applyAlignment="1" applyProtection="1">
      <alignment horizontal="center" vertical="center"/>
    </xf>
    <xf numFmtId="0" fontId="0" fillId="38" borderId="3" xfId="0" applyFill="1" applyBorder="1" applyAlignment="1" applyProtection="1">
      <alignment horizontal="center" vertical="center"/>
    </xf>
    <xf numFmtId="0" fontId="0" fillId="38" borderId="72" xfId="0" applyFill="1" applyBorder="1" applyAlignment="1" applyProtection="1">
      <alignment horizontal="center" vertical="center"/>
    </xf>
    <xf numFmtId="0" fontId="0" fillId="38" borderId="26" xfId="0" applyFill="1" applyBorder="1" applyAlignment="1" applyProtection="1">
      <alignment horizontal="center" vertical="center"/>
    </xf>
    <xf numFmtId="0" fontId="0" fillId="38" borderId="0" xfId="0" applyFill="1" applyBorder="1" applyAlignment="1" applyProtection="1">
      <alignment horizontal="center" vertical="center"/>
    </xf>
    <xf numFmtId="0" fontId="0" fillId="38" borderId="7" xfId="0" applyFill="1" applyBorder="1" applyAlignment="1" applyProtection="1">
      <alignment horizontal="center" vertical="center"/>
    </xf>
    <xf numFmtId="0" fontId="0" fillId="38" borderId="6" xfId="0" applyFill="1" applyBorder="1" applyAlignment="1" applyProtection="1">
      <alignment horizontal="center" vertical="center"/>
    </xf>
    <xf numFmtId="0" fontId="0" fillId="38" borderId="48" xfId="0" applyFill="1" applyBorder="1" applyAlignment="1" applyProtection="1">
      <alignment horizontal="center" vertical="center"/>
    </xf>
    <xf numFmtId="0" fontId="0" fillId="38" borderId="26" xfId="0" applyFill="1" applyBorder="1" applyAlignment="1" applyProtection="1">
      <alignment vertical="center"/>
    </xf>
    <xf numFmtId="0" fontId="5" fillId="38" borderId="26" xfId="0" applyFont="1" applyFill="1" applyBorder="1" applyProtection="1"/>
    <xf numFmtId="0" fontId="0" fillId="38" borderId="78" xfId="0" applyFill="1" applyBorder="1" applyProtection="1"/>
    <xf numFmtId="3" fontId="0" fillId="38" borderId="2" xfId="0" applyNumberFormat="1" applyFill="1" applyBorder="1" applyAlignment="1" applyProtection="1">
      <alignment horizontal="right" vertical="center"/>
    </xf>
    <xf numFmtId="3" fontId="0" fillId="38" borderId="11" xfId="0" applyNumberFormat="1" applyFill="1" applyBorder="1" applyAlignment="1" applyProtection="1">
      <alignment horizontal="right" vertical="center"/>
    </xf>
    <xf numFmtId="3" fontId="0" fillId="38" borderId="53" xfId="0" applyNumberFormat="1" applyFill="1" applyBorder="1" applyAlignment="1" applyProtection="1">
      <alignment horizontal="right" vertical="center"/>
    </xf>
    <xf numFmtId="0" fontId="0" fillId="39" borderId="78" xfId="0" applyFill="1" applyBorder="1" applyAlignment="1" applyProtection="1">
      <alignment vertical="center"/>
    </xf>
    <xf numFmtId="0" fontId="0" fillId="39" borderId="5" xfId="0" applyFill="1" applyBorder="1" applyAlignment="1" applyProtection="1">
      <alignment horizontal="center" vertical="center"/>
    </xf>
    <xf numFmtId="0" fontId="0" fillId="39" borderId="7" xfId="0" applyFill="1" applyBorder="1" applyAlignment="1" applyProtection="1">
      <alignment horizontal="center" vertical="center"/>
    </xf>
    <xf numFmtId="3" fontId="100" fillId="39" borderId="0" xfId="0" applyNumberFormat="1" applyFont="1" applyFill="1" applyBorder="1" applyAlignment="1" applyProtection="1">
      <alignment horizontal="right" vertical="center"/>
    </xf>
    <xf numFmtId="3" fontId="0" fillId="39" borderId="0" xfId="0" applyNumberFormat="1" applyFill="1" applyBorder="1" applyAlignment="1" applyProtection="1">
      <alignment horizontal="right" vertical="center"/>
    </xf>
    <xf numFmtId="3" fontId="7" fillId="39" borderId="0" xfId="0" applyNumberFormat="1" applyFont="1" applyFill="1" applyBorder="1" applyAlignment="1" applyProtection="1">
      <alignment horizontal="right" vertical="center"/>
    </xf>
    <xf numFmtId="3" fontId="100" fillId="39" borderId="6" xfId="0" applyNumberFormat="1" applyFont="1" applyFill="1" applyBorder="1" applyAlignment="1" applyProtection="1">
      <alignment horizontal="right" vertical="center"/>
    </xf>
    <xf numFmtId="3" fontId="7" fillId="39" borderId="7" xfId="0" applyNumberFormat="1" applyFont="1" applyFill="1" applyBorder="1" applyAlignment="1" applyProtection="1">
      <alignment horizontal="right" vertical="center"/>
    </xf>
    <xf numFmtId="3" fontId="7" fillId="39" borderId="48" xfId="0" applyNumberFormat="1" applyFont="1" applyFill="1" applyBorder="1" applyAlignment="1" applyProtection="1">
      <alignment horizontal="right" vertical="center"/>
    </xf>
    <xf numFmtId="0" fontId="6" fillId="39" borderId="26" xfId="0" applyFont="1" applyFill="1" applyBorder="1" applyAlignment="1" applyProtection="1">
      <alignment vertical="center"/>
    </xf>
    <xf numFmtId="0" fontId="0" fillId="39" borderId="27" xfId="0" applyFill="1" applyBorder="1" applyAlignment="1" applyProtection="1">
      <alignment vertical="center"/>
    </xf>
    <xf numFmtId="0" fontId="0" fillId="39" borderId="29" xfId="0" applyFill="1" applyBorder="1" applyAlignment="1" applyProtection="1">
      <alignment horizontal="center" vertical="center"/>
    </xf>
    <xf numFmtId="3" fontId="7" fillId="39" borderId="27" xfId="0" applyNumberFormat="1" applyFont="1" applyFill="1" applyBorder="1" applyAlignment="1" applyProtection="1">
      <alignment horizontal="right" vertical="center"/>
    </xf>
    <xf numFmtId="3" fontId="7" fillId="39" borderId="28" xfId="0" applyNumberFormat="1" applyFont="1" applyFill="1" applyBorder="1" applyAlignment="1" applyProtection="1">
      <alignment horizontal="right" vertical="center"/>
    </xf>
    <xf numFmtId="3" fontId="7" fillId="39" borderId="31" xfId="0" applyNumberFormat="1" applyFont="1" applyFill="1" applyBorder="1" applyAlignment="1" applyProtection="1">
      <alignment horizontal="right" vertical="center"/>
    </xf>
    <xf numFmtId="3" fontId="7" fillId="39" borderId="29" xfId="0" applyNumberFormat="1" applyFont="1" applyFill="1" applyBorder="1" applyAlignment="1" applyProtection="1">
      <alignment horizontal="right" vertical="center"/>
    </xf>
    <xf numFmtId="3" fontId="7" fillId="39" borderId="71" xfId="0" applyNumberFormat="1" applyFont="1" applyFill="1" applyBorder="1" applyAlignment="1" applyProtection="1">
      <alignment horizontal="right" vertical="center"/>
    </xf>
    <xf numFmtId="0" fontId="0" fillId="26" borderId="0" xfId="0" applyFill="1"/>
    <xf numFmtId="0" fontId="0" fillId="26" borderId="0" xfId="0" applyFill="1" applyBorder="1"/>
    <xf numFmtId="0" fontId="30" fillId="26" borderId="0" xfId="0" applyFont="1" applyFill="1"/>
    <xf numFmtId="0" fontId="0" fillId="26" borderId="4" xfId="0" applyFill="1" applyBorder="1" applyAlignment="1"/>
    <xf numFmtId="0" fontId="0" fillId="26" borderId="0" xfId="0" quotePrefix="1" applyFill="1" applyBorder="1"/>
    <xf numFmtId="0" fontId="5" fillId="26" borderId="0" xfId="0" applyFont="1" applyFill="1" applyBorder="1"/>
    <xf numFmtId="3" fontId="5" fillId="26" borderId="0" xfId="0" applyNumberFormat="1" applyFont="1" applyFill="1" applyBorder="1"/>
    <xf numFmtId="3" fontId="0" fillId="26" borderId="0" xfId="0" applyNumberFormat="1" applyFill="1"/>
    <xf numFmtId="0" fontId="30" fillId="26" borderId="0" xfId="0" applyFont="1" applyFill="1" applyAlignment="1">
      <alignment wrapText="1"/>
    </xf>
    <xf numFmtId="0" fontId="0" fillId="26" borderId="10" xfId="0" applyFill="1" applyBorder="1" applyAlignment="1"/>
    <xf numFmtId="0" fontId="16" fillId="38" borderId="1" xfId="0" applyFont="1" applyFill="1" applyBorder="1" applyAlignment="1">
      <alignment horizontal="right"/>
    </xf>
    <xf numFmtId="0" fontId="16" fillId="38" borderId="2" xfId="0" applyFont="1" applyFill="1" applyBorder="1" applyAlignment="1">
      <alignment horizontal="right"/>
    </xf>
    <xf numFmtId="0" fontId="16" fillId="38" borderId="12" xfId="0" applyFont="1" applyFill="1" applyBorder="1" applyAlignment="1">
      <alignment horizontal="right"/>
    </xf>
    <xf numFmtId="0" fontId="16" fillId="38" borderId="11" xfId="0" applyFont="1" applyFill="1" applyBorder="1" applyAlignment="1">
      <alignment horizontal="right"/>
    </xf>
    <xf numFmtId="0" fontId="0" fillId="38" borderId="13" xfId="0" applyFill="1" applyBorder="1"/>
    <xf numFmtId="0" fontId="0" fillId="38" borderId="13" xfId="0" applyFill="1" applyBorder="1" applyAlignment="1">
      <alignment horizontal="right"/>
    </xf>
    <xf numFmtId="0" fontId="0" fillId="38" borderId="3" xfId="0" applyFill="1" applyBorder="1" applyAlignment="1">
      <alignment horizontal="right"/>
    </xf>
    <xf numFmtId="0" fontId="0" fillId="38" borderId="5" xfId="0" applyFill="1" applyBorder="1" applyAlignment="1">
      <alignment horizontal="right"/>
    </xf>
    <xf numFmtId="0" fontId="0" fillId="38" borderId="3" xfId="0" applyFill="1" applyBorder="1" applyAlignment="1">
      <alignment horizontal="center"/>
    </xf>
    <xf numFmtId="0" fontId="0" fillId="38" borderId="4" xfId="0" applyFill="1" applyBorder="1" applyAlignment="1">
      <alignment horizontal="center"/>
    </xf>
    <xf numFmtId="0" fontId="0" fillId="38" borderId="5" xfId="0" applyFill="1" applyBorder="1" applyAlignment="1">
      <alignment horizontal="center"/>
    </xf>
    <xf numFmtId="0" fontId="0" fillId="38" borderId="4" xfId="0" applyFill="1" applyBorder="1" applyAlignment="1">
      <alignment horizontal="right"/>
    </xf>
    <xf numFmtId="0" fontId="5" fillId="38" borderId="15" xfId="0" applyFont="1" applyFill="1" applyBorder="1" applyAlignment="1">
      <alignment horizontal="left"/>
    </xf>
    <xf numFmtId="168" fontId="0" fillId="38" borderId="15" xfId="0" applyNumberFormat="1" applyFill="1" applyBorder="1" applyAlignment="1">
      <alignment horizontal="right"/>
    </xf>
    <xf numFmtId="4" fontId="0" fillId="38" borderId="8" xfId="0" applyNumberFormat="1" applyFill="1" applyBorder="1" applyAlignment="1">
      <alignment horizontal="right"/>
    </xf>
    <xf numFmtId="4" fontId="0" fillId="38" borderId="10" xfId="0" applyNumberFormat="1" applyFill="1" applyBorder="1" applyAlignment="1">
      <alignment horizontal="right"/>
    </xf>
    <xf numFmtId="3" fontId="0" fillId="38" borderId="8" xfId="0" applyNumberFormat="1" applyFill="1" applyBorder="1" applyAlignment="1">
      <alignment horizontal="right"/>
    </xf>
    <xf numFmtId="3" fontId="0" fillId="38" borderId="9" xfId="0" applyNumberFormat="1" applyFill="1" applyBorder="1" applyAlignment="1">
      <alignment horizontal="right"/>
    </xf>
    <xf numFmtId="3" fontId="0" fillId="38" borderId="10" xfId="0" applyNumberFormat="1" applyFill="1" applyBorder="1" applyAlignment="1">
      <alignment horizontal="right"/>
    </xf>
    <xf numFmtId="0" fontId="5" fillId="38" borderId="14" xfId="0" applyFont="1" applyFill="1" applyBorder="1"/>
    <xf numFmtId="168" fontId="0" fillId="38" borderId="14" xfId="0" applyNumberFormat="1" applyFill="1" applyBorder="1" applyAlignment="1">
      <alignment horizontal="right"/>
    </xf>
    <xf numFmtId="4" fontId="0" fillId="38" borderId="6" xfId="0" applyNumberFormat="1" applyFill="1" applyBorder="1" applyAlignment="1">
      <alignment horizontal="right"/>
    </xf>
    <xf numFmtId="4" fontId="0" fillId="38" borderId="7" xfId="0" applyNumberFormat="1" applyFill="1" applyBorder="1" applyAlignment="1">
      <alignment horizontal="right"/>
    </xf>
    <xf numFmtId="3" fontId="0" fillId="38" borderId="3" xfId="0" applyNumberFormat="1" applyFill="1" applyBorder="1" applyAlignment="1">
      <alignment horizontal="right"/>
    </xf>
    <xf numFmtId="3" fontId="0" fillId="38" borderId="4" xfId="0" applyNumberFormat="1" applyFill="1" applyBorder="1" applyAlignment="1">
      <alignment horizontal="right"/>
    </xf>
    <xf numFmtId="3" fontId="0" fillId="38" borderId="5" xfId="0" applyNumberFormat="1" applyFill="1" applyBorder="1" applyAlignment="1">
      <alignment horizontal="right"/>
    </xf>
    <xf numFmtId="3" fontId="0" fillId="38" borderId="6" xfId="0" applyNumberFormat="1" applyFill="1" applyBorder="1" applyAlignment="1">
      <alignment horizontal="right"/>
    </xf>
    <xf numFmtId="3" fontId="0" fillId="38" borderId="0" xfId="0" applyNumberFormat="1" applyFill="1" applyBorder="1" applyAlignment="1">
      <alignment horizontal="right"/>
    </xf>
    <xf numFmtId="3" fontId="0" fillId="38" borderId="7" xfId="0" applyNumberFormat="1" applyFill="1" applyBorder="1" applyAlignment="1">
      <alignment horizontal="right"/>
    </xf>
    <xf numFmtId="0" fontId="5" fillId="38" borderId="14" xfId="0" applyFont="1" applyFill="1" applyBorder="1" applyAlignment="1">
      <alignment horizontal="left"/>
    </xf>
    <xf numFmtId="0" fontId="5" fillId="38" borderId="32" xfId="0" applyFont="1" applyFill="1" applyBorder="1" applyAlignment="1">
      <alignment horizontal="right"/>
    </xf>
    <xf numFmtId="0" fontId="5" fillId="38" borderId="22" xfId="0" applyFont="1" applyFill="1" applyBorder="1" applyAlignment="1">
      <alignment horizontal="right"/>
    </xf>
    <xf numFmtId="0" fontId="5" fillId="38" borderId="45" xfId="0" applyFont="1" applyFill="1" applyBorder="1" applyAlignment="1">
      <alignment horizontal="right"/>
    </xf>
    <xf numFmtId="0" fontId="5" fillId="38" borderId="27" xfId="0" applyFont="1" applyFill="1" applyBorder="1"/>
    <xf numFmtId="0" fontId="5" fillId="38" borderId="28" xfId="0" applyFont="1" applyFill="1" applyBorder="1"/>
    <xf numFmtId="0" fontId="5" fillId="38" borderId="28" xfId="0" applyFont="1" applyFill="1" applyBorder="1" applyAlignment="1">
      <alignment horizontal="right"/>
    </xf>
    <xf numFmtId="0" fontId="5" fillId="38" borderId="71" xfId="0" applyFont="1" applyFill="1" applyBorder="1" applyAlignment="1">
      <alignment horizontal="right"/>
    </xf>
    <xf numFmtId="3" fontId="5" fillId="38" borderId="22" xfId="0" applyNumberFormat="1" applyFont="1" applyFill="1" applyBorder="1"/>
    <xf numFmtId="3" fontId="5" fillId="38" borderId="45" xfId="0" applyNumberFormat="1" applyFont="1" applyFill="1" applyBorder="1"/>
    <xf numFmtId="0" fontId="0" fillId="38" borderId="26" xfId="0" applyFill="1" applyBorder="1"/>
    <xf numFmtId="3" fontId="0" fillId="38" borderId="0" xfId="0" applyNumberFormat="1" applyFill="1" applyBorder="1"/>
    <xf numFmtId="3" fontId="0" fillId="38" borderId="48" xfId="0" applyNumberFormat="1" applyFill="1" applyBorder="1"/>
    <xf numFmtId="0" fontId="0" fillId="38" borderId="0" xfId="0" applyFill="1" applyBorder="1"/>
    <xf numFmtId="168" fontId="0" fillId="38" borderId="0" xfId="0" applyNumberFormat="1" applyFill="1" applyBorder="1" applyAlignment="1">
      <alignment horizontal="right"/>
    </xf>
    <xf numFmtId="3" fontId="12" fillId="38" borderId="0" xfId="0" applyNumberFormat="1" applyFont="1" applyFill="1" applyBorder="1" applyAlignment="1">
      <alignment horizontal="right"/>
    </xf>
    <xf numFmtId="3" fontId="12" fillId="38" borderId="0" xfId="0" applyNumberFormat="1" applyFont="1" applyFill="1" applyBorder="1"/>
    <xf numFmtId="0" fontId="12" fillId="38" borderId="0" xfId="0" applyFont="1" applyFill="1" applyBorder="1"/>
    <xf numFmtId="0" fontId="0" fillId="38" borderId="133" xfId="0" applyFill="1" applyBorder="1"/>
    <xf numFmtId="3" fontId="0" fillId="38" borderId="136" xfId="0" applyNumberFormat="1" applyFill="1" applyBorder="1"/>
    <xf numFmtId="3" fontId="68" fillId="38" borderId="0" xfId="0" applyNumberFormat="1" applyFont="1" applyFill="1" applyBorder="1"/>
    <xf numFmtId="3" fontId="68" fillId="38" borderId="136" xfId="0" applyNumberFormat="1" applyFont="1" applyFill="1" applyBorder="1"/>
    <xf numFmtId="0" fontId="68" fillId="38" borderId="0" xfId="0" applyFont="1" applyFill="1" applyBorder="1" applyAlignment="1">
      <alignment horizontal="left"/>
    </xf>
    <xf numFmtId="0" fontId="84" fillId="38" borderId="0" xfId="0" applyFont="1" applyFill="1" applyBorder="1" applyAlignment="1">
      <alignment horizontal="left"/>
    </xf>
    <xf numFmtId="0" fontId="85" fillId="38" borderId="0" xfId="0" applyFont="1" applyFill="1" applyBorder="1" applyAlignment="1">
      <alignment horizontal="left"/>
    </xf>
    <xf numFmtId="3" fontId="84" fillId="38" borderId="0" xfId="0" applyNumberFormat="1" applyFont="1" applyFill="1" applyBorder="1"/>
    <xf numFmtId="3" fontId="84" fillId="38" borderId="136" xfId="0" applyNumberFormat="1" applyFont="1" applyFill="1" applyBorder="1"/>
    <xf numFmtId="0" fontId="83" fillId="38" borderId="0" xfId="0" applyFont="1" applyFill="1" applyBorder="1" applyAlignment="1">
      <alignment horizontal="left"/>
    </xf>
    <xf numFmtId="3" fontId="68" fillId="38" borderId="48" xfId="0" applyNumberFormat="1" applyFont="1" applyFill="1" applyBorder="1"/>
    <xf numFmtId="0" fontId="0" fillId="38" borderId="0" xfId="0" applyFill="1"/>
    <xf numFmtId="0" fontId="0" fillId="38" borderId="137" xfId="0" applyFill="1" applyBorder="1"/>
    <xf numFmtId="0" fontId="3" fillId="38" borderId="112" xfId="0" applyFont="1" applyFill="1" applyBorder="1"/>
    <xf numFmtId="165" fontId="0" fillId="38" borderId="0" xfId="0" applyNumberFormat="1" applyFill="1" applyBorder="1"/>
    <xf numFmtId="0" fontId="3" fillId="38" borderId="114" xfId="0" applyFont="1" applyFill="1" applyBorder="1"/>
    <xf numFmtId="0" fontId="0" fillId="38" borderId="107" xfId="0" applyFill="1" applyBorder="1"/>
    <xf numFmtId="0" fontId="0" fillId="39" borderId="32" xfId="0" applyFill="1" applyBorder="1"/>
    <xf numFmtId="0" fontId="0" fillId="39" borderId="22" xfId="0" applyFill="1" applyBorder="1"/>
    <xf numFmtId="0" fontId="0" fillId="39" borderId="133" xfId="0" applyFill="1" applyBorder="1"/>
    <xf numFmtId="0" fontId="0" fillId="39" borderId="0" xfId="0" quotePrefix="1" applyFill="1" applyBorder="1" applyAlignment="1"/>
    <xf numFmtId="0" fontId="5" fillId="39" borderId="0" xfId="0" quotePrefix="1" applyFont="1" applyFill="1" applyBorder="1" applyAlignment="1">
      <alignment horizontal="center"/>
    </xf>
    <xf numFmtId="0" fontId="5" fillId="39" borderId="136" xfId="0" applyFont="1" applyFill="1" applyBorder="1" applyAlignment="1">
      <alignment horizontal="center"/>
    </xf>
    <xf numFmtId="0" fontId="0" fillId="39" borderId="133" xfId="0" quotePrefix="1" applyFill="1" applyBorder="1" applyAlignment="1"/>
    <xf numFmtId="3" fontId="0" fillId="39" borderId="0" xfId="0" applyNumberFormat="1" applyFill="1" applyBorder="1" applyAlignment="1">
      <alignment horizontal="center"/>
    </xf>
    <xf numFmtId="3" fontId="0" fillId="39" borderId="136" xfId="0" applyNumberFormat="1" applyFill="1" applyBorder="1" applyAlignment="1">
      <alignment horizontal="center"/>
    </xf>
    <xf numFmtId="0" fontId="3" fillId="39" borderId="133" xfId="0" quotePrefix="1" applyFont="1" applyFill="1" applyBorder="1" applyAlignment="1"/>
    <xf numFmtId="0" fontId="3" fillId="39" borderId="0" xfId="0" quotePrefix="1" applyFont="1" applyFill="1" applyBorder="1" applyAlignment="1"/>
    <xf numFmtId="0" fontId="3" fillId="39" borderId="27" xfId="0" quotePrefix="1" applyFont="1" applyFill="1" applyBorder="1" applyAlignment="1"/>
    <xf numFmtId="0" fontId="3" fillId="39" borderId="28" xfId="0" quotePrefix="1" applyFont="1" applyFill="1" applyBorder="1" applyAlignment="1"/>
    <xf numFmtId="3" fontId="0" fillId="39" borderId="28" xfId="0" applyNumberFormat="1" applyFill="1" applyBorder="1" applyAlignment="1">
      <alignment horizontal="center"/>
    </xf>
    <xf numFmtId="3" fontId="0" fillId="39" borderId="71" xfId="0" applyNumberFormat="1" applyFill="1" applyBorder="1" applyAlignment="1">
      <alignment horizontal="center"/>
    </xf>
    <xf numFmtId="3" fontId="0" fillId="39" borderId="22" xfId="0" applyNumberFormat="1" applyFill="1" applyBorder="1"/>
    <xf numFmtId="3" fontId="0" fillId="39" borderId="45" xfId="0" applyNumberFormat="1" applyFill="1" applyBorder="1"/>
    <xf numFmtId="0" fontId="0" fillId="39" borderId="26" xfId="0" applyFill="1" applyBorder="1"/>
    <xf numFmtId="3" fontId="0" fillId="39" borderId="0" xfId="0" applyNumberFormat="1" applyFill="1" applyBorder="1"/>
    <xf numFmtId="3" fontId="0" fillId="39" borderId="48" xfId="0" applyNumberFormat="1" applyFill="1" applyBorder="1"/>
    <xf numFmtId="0" fontId="0" fillId="39" borderId="0" xfId="0" quotePrefix="1" applyFill="1" applyBorder="1"/>
    <xf numFmtId="0" fontId="0" fillId="39" borderId="0" xfId="0" applyFill="1" applyBorder="1"/>
    <xf numFmtId="165" fontId="0" fillId="39" borderId="0" xfId="0" applyNumberFormat="1" applyFill="1" applyBorder="1"/>
    <xf numFmtId="165" fontId="0" fillId="39" borderId="0" xfId="0" applyNumberFormat="1" applyFill="1" applyBorder="1" applyAlignment="1">
      <alignment horizontal="right"/>
    </xf>
    <xf numFmtId="3" fontId="0" fillId="39" borderId="48" xfId="0" applyNumberFormat="1" applyFill="1" applyBorder="1" applyAlignment="1">
      <alignment horizontal="right" indent="1"/>
    </xf>
    <xf numFmtId="0" fontId="3" fillId="39" borderId="0" xfId="0" applyFont="1" applyFill="1" applyBorder="1"/>
    <xf numFmtId="0" fontId="66" fillId="39" borderId="0" xfId="0" applyFont="1" applyFill="1" applyBorder="1"/>
    <xf numFmtId="3" fontId="66" fillId="39" borderId="0" xfId="0" applyNumberFormat="1" applyFont="1" applyFill="1" applyBorder="1"/>
    <xf numFmtId="168" fontId="66" fillId="39" borderId="0" xfId="0" applyNumberFormat="1" applyFont="1" applyFill="1" applyBorder="1"/>
    <xf numFmtId="3" fontId="65" fillId="39" borderId="0" xfId="0" applyNumberFormat="1" applyFont="1" applyFill="1" applyBorder="1"/>
    <xf numFmtId="168" fontId="66" fillId="39" borderId="0" xfId="0" applyNumberFormat="1" applyFont="1" applyFill="1" applyBorder="1" applyAlignment="1">
      <alignment horizontal="right" indent="1"/>
    </xf>
    <xf numFmtId="3" fontId="66" fillId="39" borderId="48" xfId="0" applyNumberFormat="1" applyFont="1" applyFill="1" applyBorder="1" applyAlignment="1">
      <alignment horizontal="right" indent="1"/>
    </xf>
    <xf numFmtId="168" fontId="0" fillId="39" borderId="0" xfId="0" applyNumberFormat="1" applyFill="1" applyBorder="1"/>
    <xf numFmtId="168" fontId="0" fillId="39" borderId="0" xfId="0" applyNumberFormat="1" applyFill="1" applyBorder="1" applyAlignment="1">
      <alignment horizontal="right"/>
    </xf>
    <xf numFmtId="0" fontId="5" fillId="39" borderId="22" xfId="0" applyFont="1" applyFill="1" applyBorder="1" applyAlignment="1">
      <alignment horizontal="right"/>
    </xf>
    <xf numFmtId="0" fontId="5" fillId="39" borderId="22" xfId="0" applyFont="1" applyFill="1" applyBorder="1" applyAlignment="1">
      <alignment horizontal="center"/>
    </xf>
    <xf numFmtId="0" fontId="5" fillId="39" borderId="45" xfId="0" applyFont="1" applyFill="1" applyBorder="1" applyAlignment="1">
      <alignment horizontal="right"/>
    </xf>
    <xf numFmtId="0" fontId="5" fillId="39" borderId="28" xfId="0" applyFont="1" applyFill="1" applyBorder="1"/>
    <xf numFmtId="0" fontId="5" fillId="39" borderId="28" xfId="0" applyFont="1" applyFill="1" applyBorder="1" applyAlignment="1">
      <alignment horizontal="right"/>
    </xf>
    <xf numFmtId="0" fontId="5" fillId="39" borderId="28" xfId="0" applyFont="1" applyFill="1" applyBorder="1" applyAlignment="1">
      <alignment horizontal="center"/>
    </xf>
    <xf numFmtId="0" fontId="5" fillId="39" borderId="71" xfId="0" applyFont="1" applyFill="1" applyBorder="1" applyAlignment="1">
      <alignment horizontal="right"/>
    </xf>
    <xf numFmtId="0" fontId="5" fillId="38" borderId="32" xfId="0" applyFont="1" applyFill="1" applyBorder="1" applyAlignment="1" applyProtection="1">
      <alignment horizontal="right" vertical="center"/>
    </xf>
    <xf numFmtId="0" fontId="5" fillId="38" borderId="24" xfId="0" applyFont="1" applyFill="1" applyBorder="1" applyAlignment="1" applyProtection="1">
      <alignment horizontal="right" vertical="center"/>
    </xf>
    <xf numFmtId="0" fontId="5" fillId="38" borderId="45" xfId="0" applyFont="1" applyFill="1" applyBorder="1" applyAlignment="1" applyProtection="1">
      <alignment horizontal="right" vertical="center"/>
    </xf>
    <xf numFmtId="0" fontId="0" fillId="38" borderId="32" xfId="0" applyFill="1" applyBorder="1" applyAlignment="1" applyProtection="1">
      <alignment horizontal="right"/>
    </xf>
    <xf numFmtId="0" fontId="0" fillId="38" borderId="24" xfId="0" applyFill="1" applyBorder="1" applyAlignment="1" applyProtection="1">
      <alignment horizontal="right"/>
    </xf>
    <xf numFmtId="0" fontId="0" fillId="38" borderId="45" xfId="0" applyFill="1" applyBorder="1" applyAlignment="1" applyProtection="1">
      <alignment horizontal="right"/>
    </xf>
    <xf numFmtId="0" fontId="0" fillId="38" borderId="0" xfId="0" quotePrefix="1" applyFill="1" applyBorder="1" applyProtection="1"/>
    <xf numFmtId="165" fontId="0" fillId="38" borderId="48" xfId="0" applyNumberFormat="1" applyFill="1" applyBorder="1" applyAlignment="1" applyProtection="1">
      <alignment horizontal="right"/>
    </xf>
    <xf numFmtId="0" fontId="0" fillId="38" borderId="26" xfId="0" applyFill="1" applyBorder="1" applyAlignment="1" applyProtection="1">
      <alignment horizontal="right"/>
    </xf>
    <xf numFmtId="0" fontId="0" fillId="38" borderId="14" xfId="0" applyFill="1" applyBorder="1" applyAlignment="1" applyProtection="1">
      <alignment horizontal="right"/>
    </xf>
    <xf numFmtId="0" fontId="0" fillId="38" borderId="48" xfId="0" applyFill="1" applyBorder="1" applyAlignment="1" applyProtection="1">
      <alignment horizontal="right"/>
    </xf>
    <xf numFmtId="0" fontId="3" fillId="38" borderId="0" xfId="0" quotePrefix="1" applyFont="1" applyFill="1" applyBorder="1" applyProtection="1"/>
    <xf numFmtId="1" fontId="0" fillId="38" borderId="26" xfId="0" applyNumberFormat="1" applyFill="1" applyBorder="1" applyAlignment="1" applyProtection="1">
      <alignment horizontal="right"/>
    </xf>
    <xf numFmtId="1" fontId="0" fillId="38" borderId="14" xfId="0" applyNumberFormat="1" applyFill="1" applyBorder="1" applyAlignment="1" applyProtection="1">
      <alignment horizontal="right"/>
    </xf>
    <xf numFmtId="1" fontId="0" fillId="38" borderId="48" xfId="0" applyNumberFormat="1" applyFill="1" applyBorder="1" applyAlignment="1" applyProtection="1">
      <alignment horizontal="right"/>
    </xf>
    <xf numFmtId="0" fontId="0" fillId="38" borderId="50" xfId="0" applyFill="1" applyBorder="1" applyProtection="1"/>
    <xf numFmtId="0" fontId="3" fillId="38" borderId="9" xfId="0" quotePrefix="1" applyFont="1" applyFill="1" applyBorder="1" applyProtection="1"/>
    <xf numFmtId="165" fontId="0" fillId="38" borderId="51" xfId="0" applyNumberFormat="1" applyFill="1" applyBorder="1" applyAlignment="1" applyProtection="1">
      <alignment horizontal="right"/>
    </xf>
    <xf numFmtId="1" fontId="0" fillId="38" borderId="50" xfId="0" applyNumberFormat="1" applyFill="1" applyBorder="1" applyAlignment="1" applyProtection="1">
      <alignment horizontal="right"/>
    </xf>
    <xf numFmtId="1" fontId="0" fillId="38" borderId="15" xfId="0" applyNumberFormat="1" applyFill="1" applyBorder="1" applyAlignment="1" applyProtection="1">
      <alignment horizontal="right"/>
    </xf>
    <xf numFmtId="1" fontId="0" fillId="38" borderId="51" xfId="0" applyNumberFormat="1" applyFill="1" applyBorder="1" applyAlignment="1" applyProtection="1">
      <alignment horizontal="right"/>
    </xf>
    <xf numFmtId="165" fontId="0" fillId="38" borderId="45" xfId="0" applyNumberFormat="1" applyFill="1" applyBorder="1" applyAlignment="1" applyProtection="1">
      <alignment horizontal="right"/>
    </xf>
    <xf numFmtId="1" fontId="0" fillId="38" borderId="32" xfId="0" applyNumberFormat="1" applyFill="1" applyBorder="1" applyAlignment="1" applyProtection="1">
      <alignment horizontal="right"/>
    </xf>
    <xf numFmtId="1" fontId="0" fillId="38" borderId="24" xfId="0" applyNumberFormat="1" applyFill="1" applyBorder="1" applyAlignment="1" applyProtection="1">
      <alignment horizontal="right"/>
    </xf>
    <xf numFmtId="1" fontId="0" fillId="38" borderId="45" xfId="0" applyNumberFormat="1" applyFill="1" applyBorder="1" applyAlignment="1" applyProtection="1">
      <alignment horizontal="right"/>
    </xf>
    <xf numFmtId="165" fontId="0" fillId="38" borderId="72" xfId="0" applyNumberFormat="1" applyFill="1" applyBorder="1" applyAlignment="1" applyProtection="1">
      <alignment horizontal="right"/>
    </xf>
    <xf numFmtId="1" fontId="0" fillId="38" borderId="78" xfId="0" applyNumberFormat="1" applyFill="1" applyBorder="1" applyAlignment="1" applyProtection="1">
      <alignment horizontal="right"/>
    </xf>
    <xf numFmtId="1" fontId="0" fillId="38" borderId="13" xfId="0" applyNumberFormat="1" applyFill="1" applyBorder="1" applyAlignment="1" applyProtection="1">
      <alignment horizontal="right"/>
    </xf>
    <xf numFmtId="1" fontId="0" fillId="38" borderId="72" xfId="0" applyNumberFormat="1" applyFill="1" applyBorder="1" applyAlignment="1" applyProtection="1">
      <alignment horizontal="right"/>
    </xf>
    <xf numFmtId="0" fontId="0" fillId="38" borderId="51" xfId="0" applyFill="1" applyBorder="1" applyProtection="1"/>
    <xf numFmtId="0" fontId="23" fillId="26" borderId="0" xfId="0" applyFont="1" applyFill="1"/>
    <xf numFmtId="0" fontId="0" fillId="26" borderId="0" xfId="0" applyFill="1" applyAlignment="1">
      <alignment horizontal="center"/>
    </xf>
    <xf numFmtId="0" fontId="16" fillId="26" borderId="0" xfId="0" applyFont="1" applyFill="1"/>
    <xf numFmtId="0" fontId="16" fillId="26" borderId="0" xfId="0" applyFont="1" applyFill="1" applyAlignment="1">
      <alignment horizontal="right"/>
    </xf>
    <xf numFmtId="0" fontId="3" fillId="26" borderId="0" xfId="0" applyFont="1" applyFill="1" applyAlignment="1">
      <alignment horizontal="right"/>
    </xf>
    <xf numFmtId="0" fontId="35" fillId="26" borderId="0" xfId="0" applyFont="1" applyFill="1"/>
    <xf numFmtId="0" fontId="5" fillId="26" borderId="0" xfId="0" applyFont="1" applyFill="1" applyAlignment="1">
      <alignment horizontal="left"/>
    </xf>
    <xf numFmtId="0" fontId="63" fillId="26" borderId="0" xfId="0" applyFont="1" applyFill="1" applyAlignment="1">
      <alignment horizontal="left"/>
    </xf>
    <xf numFmtId="0" fontId="0" fillId="39" borderId="0" xfId="0" applyFill="1"/>
    <xf numFmtId="0" fontId="5" fillId="39" borderId="0" xfId="0" applyFont="1" applyFill="1" applyAlignment="1">
      <alignment horizontal="right"/>
    </xf>
    <xf numFmtId="3" fontId="5" fillId="39" borderId="1" xfId="0" applyNumberFormat="1" applyFont="1" applyFill="1" applyBorder="1" applyAlignment="1">
      <alignment horizontal="right"/>
    </xf>
    <xf numFmtId="0" fontId="3" fillId="39" borderId="0" xfId="0" applyFont="1" applyFill="1" applyAlignment="1">
      <alignment horizontal="right"/>
    </xf>
    <xf numFmtId="168" fontId="0" fillId="39" borderId="1" xfId="0" applyNumberFormat="1" applyFill="1" applyBorder="1" applyAlignment="1">
      <alignment horizontal="right"/>
    </xf>
    <xf numFmtId="0" fontId="6" fillId="39" borderId="0" xfId="0" applyFont="1" applyFill="1"/>
    <xf numFmtId="3" fontId="11" fillId="39" borderId="0" xfId="0" applyNumberFormat="1" applyFont="1" applyFill="1" applyAlignment="1">
      <alignment horizontal="left"/>
    </xf>
    <xf numFmtId="0" fontId="11" fillId="39" borderId="0" xfId="0" applyFont="1" applyFill="1" applyAlignment="1">
      <alignment horizontal="right"/>
    </xf>
    <xf numFmtId="0" fontId="5" fillId="39" borderId="0" xfId="0" applyFont="1" applyFill="1" applyAlignment="1">
      <alignment horizontal="left"/>
    </xf>
    <xf numFmtId="0" fontId="63" fillId="39" borderId="0" xfId="0" applyFont="1" applyFill="1"/>
    <xf numFmtId="0" fontId="63" fillId="39" borderId="0" xfId="0" applyFont="1" applyFill="1" applyAlignment="1">
      <alignment horizontal="right"/>
    </xf>
    <xf numFmtId="3" fontId="64" fillId="39" borderId="1" xfId="0" applyNumberFormat="1" applyFont="1" applyFill="1" applyBorder="1" applyAlignment="1">
      <alignment horizontal="right"/>
    </xf>
    <xf numFmtId="0" fontId="63" fillId="39" borderId="0" xfId="0" applyFont="1" applyFill="1" applyAlignment="1">
      <alignment horizontal="left"/>
    </xf>
    <xf numFmtId="0" fontId="7" fillId="26" borderId="0" xfId="0" applyFont="1" applyFill="1"/>
    <xf numFmtId="0" fontId="3" fillId="38" borderId="137" xfId="0" applyFont="1" applyFill="1" applyBorder="1" applyAlignment="1">
      <alignment horizontal="center"/>
    </xf>
    <xf numFmtId="165" fontId="0" fillId="38" borderId="0" xfId="0" applyNumberFormat="1" applyFill="1" applyBorder="1" applyAlignment="1">
      <alignment horizontal="center"/>
    </xf>
    <xf numFmtId="3" fontId="0" fillId="38" borderId="0" xfId="0" applyNumberFormat="1" applyFill="1" applyBorder="1" applyAlignment="1">
      <alignment horizontal="center"/>
    </xf>
    <xf numFmtId="0" fontId="0" fillId="38" borderId="0" xfId="0" applyFill="1" applyBorder="1" applyAlignment="1">
      <alignment horizontal="center"/>
    </xf>
    <xf numFmtId="165" fontId="12" fillId="38" borderId="0" xfId="0" applyNumberFormat="1" applyFont="1" applyFill="1" applyBorder="1" applyAlignment="1">
      <alignment horizontal="center"/>
    </xf>
    <xf numFmtId="3" fontId="12" fillId="38" borderId="0" xfId="0" applyNumberFormat="1" applyFont="1" applyFill="1" applyBorder="1" applyAlignment="1">
      <alignment horizontal="center"/>
    </xf>
    <xf numFmtId="0" fontId="3" fillId="38" borderId="0" xfId="0" applyFont="1" applyFill="1" applyBorder="1" applyAlignment="1">
      <alignment horizontal="center"/>
    </xf>
    <xf numFmtId="0" fontId="0" fillId="38" borderId="112" xfId="0" applyFill="1" applyBorder="1"/>
    <xf numFmtId="0" fontId="12" fillId="38" borderId="112" xfId="0" applyFont="1" applyFill="1" applyBorder="1"/>
    <xf numFmtId="0" fontId="0" fillId="38" borderId="113" xfId="0" applyFill="1" applyBorder="1"/>
    <xf numFmtId="4" fontId="0" fillId="38" borderId="0" xfId="0" applyNumberFormat="1" applyFill="1" applyBorder="1" applyAlignment="1">
      <alignment horizontal="center"/>
    </xf>
    <xf numFmtId="0" fontId="39" fillId="38" borderId="0" xfId="0" applyFont="1" applyFill="1" applyBorder="1"/>
    <xf numFmtId="9" fontId="0" fillId="38" borderId="0" xfId="2" applyFont="1" applyFill="1" applyBorder="1" applyAlignment="1">
      <alignment horizontal="center"/>
    </xf>
    <xf numFmtId="9" fontId="0" fillId="38" borderId="107" xfId="2" applyFont="1" applyFill="1" applyBorder="1" applyAlignment="1">
      <alignment horizontal="center"/>
    </xf>
    <xf numFmtId="0" fontId="0" fillId="38" borderId="135" xfId="0" applyFill="1" applyBorder="1"/>
    <xf numFmtId="0" fontId="3" fillId="39" borderId="137" xfId="0" applyFont="1" applyFill="1" applyBorder="1" applyAlignment="1">
      <alignment horizontal="center"/>
    </xf>
    <xf numFmtId="165" fontId="0" fillId="39" borderId="0" xfId="0" applyNumberFormat="1" applyFill="1" applyBorder="1" applyAlignment="1">
      <alignment horizontal="center"/>
    </xf>
    <xf numFmtId="0" fontId="0" fillId="39" borderId="0" xfId="0" applyFill="1" applyBorder="1" applyAlignment="1">
      <alignment horizontal="center"/>
    </xf>
    <xf numFmtId="165" fontId="12" fillId="39" borderId="0" xfId="0" applyNumberFormat="1" applyFont="1" applyFill="1" applyBorder="1" applyAlignment="1">
      <alignment horizontal="center"/>
    </xf>
    <xf numFmtId="3" fontId="12" fillId="39" borderId="0" xfId="0" applyNumberFormat="1" applyFont="1" applyFill="1" applyBorder="1" applyAlignment="1">
      <alignment horizontal="center"/>
    </xf>
    <xf numFmtId="0" fontId="3" fillId="39" borderId="0" xfId="0" applyFont="1" applyFill="1" applyBorder="1" applyAlignment="1">
      <alignment horizontal="center"/>
    </xf>
    <xf numFmtId="0" fontId="0" fillId="39" borderId="112" xfId="0" applyFill="1" applyBorder="1"/>
    <xf numFmtId="0" fontId="12" fillId="39" borderId="112" xfId="0" applyFont="1" applyFill="1" applyBorder="1"/>
    <xf numFmtId="0" fontId="0" fillId="39" borderId="113" xfId="0" applyFill="1" applyBorder="1"/>
    <xf numFmtId="4" fontId="0" fillId="39" borderId="0" xfId="0" applyNumberFormat="1" applyFill="1" applyBorder="1" applyAlignment="1">
      <alignment horizontal="center"/>
    </xf>
    <xf numFmtId="0" fontId="39" fillId="39" borderId="0" xfId="0" applyFont="1" applyFill="1" applyBorder="1"/>
    <xf numFmtId="0" fontId="3" fillId="39" borderId="112" xfId="0" applyFont="1" applyFill="1" applyBorder="1"/>
    <xf numFmtId="9" fontId="3" fillId="39" borderId="0" xfId="2" applyFont="1" applyFill="1" applyBorder="1" applyAlignment="1">
      <alignment horizontal="center"/>
    </xf>
    <xf numFmtId="0" fontId="3" fillId="39" borderId="114" xfId="0" applyFont="1" applyFill="1" applyBorder="1"/>
    <xf numFmtId="0" fontId="3" fillId="39" borderId="107" xfId="0" applyFont="1" applyFill="1" applyBorder="1"/>
    <xf numFmtId="3" fontId="0" fillId="39" borderId="107" xfId="0" applyNumberFormat="1" applyFill="1" applyBorder="1" applyAlignment="1">
      <alignment horizontal="center"/>
    </xf>
    <xf numFmtId="9" fontId="3" fillId="39" borderId="107" xfId="2" applyFont="1" applyFill="1" applyBorder="1" applyAlignment="1">
      <alignment horizontal="center"/>
    </xf>
    <xf numFmtId="0" fontId="0" fillId="39" borderId="135" xfId="0" applyFill="1" applyBorder="1"/>
    <xf numFmtId="4" fontId="0" fillId="38" borderId="137" xfId="0" applyNumberFormat="1" applyFill="1" applyBorder="1" applyAlignment="1">
      <alignment horizontal="center"/>
    </xf>
    <xf numFmtId="0" fontId="3" fillId="38" borderId="137" xfId="0" applyFont="1" applyFill="1" applyBorder="1"/>
    <xf numFmtId="0" fontId="0" fillId="38" borderId="134" xfId="0" applyFill="1" applyBorder="1"/>
    <xf numFmtId="0" fontId="0" fillId="38" borderId="0" xfId="0" applyFill="1" applyBorder="1" applyAlignment="1">
      <alignment horizontal="right"/>
    </xf>
    <xf numFmtId="0" fontId="3" fillId="38" borderId="0" xfId="0" applyFont="1" applyFill="1" applyBorder="1"/>
    <xf numFmtId="0" fontId="3" fillId="38" borderId="112" xfId="0" applyFont="1" applyFill="1" applyBorder="1" applyAlignment="1">
      <alignment horizontal="left"/>
    </xf>
    <xf numFmtId="0" fontId="3" fillId="38" borderId="0" xfId="0" applyFont="1" applyFill="1" applyBorder="1" applyAlignment="1">
      <alignment horizontal="right"/>
    </xf>
    <xf numFmtId="0" fontId="31" fillId="38" borderId="112" xfId="0" applyFont="1" applyFill="1" applyBorder="1"/>
    <xf numFmtId="0" fontId="3" fillId="38" borderId="112" xfId="0" quotePrefix="1" applyFont="1" applyFill="1" applyBorder="1" applyAlignment="1">
      <alignment horizontal="left"/>
    </xf>
    <xf numFmtId="0" fontId="0" fillId="38" borderId="114" xfId="0" applyFill="1" applyBorder="1"/>
    <xf numFmtId="0" fontId="3" fillId="26" borderId="0" xfId="0" applyFont="1" applyFill="1" applyAlignment="1">
      <alignment horizontal="center"/>
    </xf>
    <xf numFmtId="0" fontId="3" fillId="26" borderId="0" xfId="0" applyFont="1" applyFill="1" applyProtection="1"/>
    <xf numFmtId="0" fontId="0" fillId="26" borderId="0" xfId="0" applyFill="1" applyAlignment="1"/>
    <xf numFmtId="0" fontId="3" fillId="26" borderId="0" xfId="0" applyFont="1" applyFill="1"/>
    <xf numFmtId="0" fontId="3" fillId="26" borderId="0" xfId="0" applyFont="1" applyFill="1" applyAlignment="1">
      <alignment vertical="center"/>
    </xf>
    <xf numFmtId="0" fontId="0" fillId="26" borderId="0" xfId="0" applyFill="1" applyAlignment="1">
      <alignment vertical="center"/>
    </xf>
    <xf numFmtId="0" fontId="3" fillId="26" borderId="2" xfId="0" quotePrefix="1" applyFont="1" applyFill="1" applyBorder="1" applyAlignment="1">
      <alignment horizontal="left" indent="1"/>
    </xf>
    <xf numFmtId="2" fontId="0" fillId="26" borderId="11" xfId="0" applyNumberFormat="1" applyFill="1" applyBorder="1" applyAlignment="1">
      <alignment horizontal="center"/>
    </xf>
    <xf numFmtId="2" fontId="3" fillId="26" borderId="11" xfId="0" applyNumberFormat="1" applyFont="1" applyFill="1" applyBorder="1" applyAlignment="1">
      <alignment horizontal="left"/>
    </xf>
    <xf numFmtId="2" fontId="0" fillId="26" borderId="11" xfId="0" applyNumberFormat="1" applyFill="1" applyBorder="1" applyAlignment="1">
      <alignment horizontal="center" vertical="top"/>
    </xf>
    <xf numFmtId="9" fontId="0" fillId="26" borderId="9" xfId="2" applyFont="1" applyFill="1" applyBorder="1" applyAlignment="1">
      <alignment horizontal="center"/>
    </xf>
    <xf numFmtId="3" fontId="3" fillId="26" borderId="6" xfId="0" applyNumberFormat="1" applyFont="1" applyFill="1" applyBorder="1" applyAlignment="1">
      <alignment horizontal="right"/>
    </xf>
    <xf numFmtId="0" fontId="0" fillId="26" borderId="0" xfId="0" applyFill="1" applyBorder="1" applyAlignment="1">
      <alignment horizontal="center"/>
    </xf>
    <xf numFmtId="3" fontId="3" fillId="26" borderId="0" xfId="0" applyNumberFormat="1" applyFont="1" applyFill="1" applyBorder="1" applyAlignment="1">
      <alignment horizontal="right"/>
    </xf>
    <xf numFmtId="2" fontId="3" fillId="26" borderId="11" xfId="0" quotePrefix="1" applyNumberFormat="1" applyFont="1" applyFill="1" applyBorder="1" applyAlignment="1">
      <alignment horizontal="left"/>
    </xf>
    <xf numFmtId="0" fontId="3" fillId="26" borderId="0" xfId="0" applyFont="1" applyFill="1" applyBorder="1"/>
    <xf numFmtId="9" fontId="0" fillId="26" borderId="11" xfId="2" applyFont="1" applyFill="1" applyBorder="1" applyAlignment="1">
      <alignment horizontal="center"/>
    </xf>
    <xf numFmtId="0" fontId="12" fillId="26" borderId="0" xfId="0" applyFont="1" applyFill="1" applyAlignment="1">
      <alignment horizontal="left" indent="2"/>
    </xf>
    <xf numFmtId="0" fontId="12" fillId="26" borderId="0" xfId="0" applyFont="1" applyFill="1" applyAlignment="1"/>
    <xf numFmtId="0" fontId="12" fillId="26" borderId="0" xfId="0" applyFont="1" applyFill="1" applyAlignment="1">
      <alignment horizontal="left"/>
    </xf>
    <xf numFmtId="0" fontId="3" fillId="26" borderId="0" xfId="0" quotePrefix="1" applyFont="1" applyFill="1" applyAlignment="1"/>
    <xf numFmtId="0" fontId="3" fillId="26" borderId="0" xfId="0" quotePrefix="1" applyFont="1" applyFill="1" applyAlignment="1">
      <alignment wrapText="1"/>
    </xf>
    <xf numFmtId="0" fontId="12" fillId="26" borderId="0" xfId="0" applyFont="1" applyFill="1" applyAlignment="1">
      <alignment horizontal="left" vertical="center" indent="2"/>
    </xf>
    <xf numFmtId="0" fontId="3" fillId="26" borderId="0" xfId="0" applyFont="1" applyFill="1" applyAlignment="1">
      <alignment vertical="center" wrapText="1"/>
    </xf>
    <xf numFmtId="0" fontId="3" fillId="26" borderId="0" xfId="0" quotePrefix="1" applyFont="1" applyFill="1" applyAlignment="1">
      <alignment horizontal="left" indent="2"/>
    </xf>
    <xf numFmtId="0" fontId="11" fillId="26" borderId="0" xfId="0" applyFont="1" applyFill="1" applyAlignment="1">
      <alignment horizontal="left" vertical="center" wrapText="1"/>
    </xf>
    <xf numFmtId="0" fontId="12" fillId="26" borderId="0" xfId="0" applyFont="1" applyFill="1"/>
    <xf numFmtId="0" fontId="39" fillId="26" borderId="0" xfId="0" applyFont="1" applyFill="1" applyAlignment="1">
      <alignment horizontal="center"/>
    </xf>
    <xf numFmtId="1" fontId="0" fillId="26" borderId="0" xfId="2" applyNumberFormat="1" applyFont="1" applyFill="1" applyAlignment="1">
      <alignment horizontal="center"/>
    </xf>
    <xf numFmtId="0" fontId="39" fillId="26" borderId="0" xfId="0" applyFont="1" applyFill="1"/>
    <xf numFmtId="0" fontId="3" fillId="26" borderId="0" xfId="0" applyFont="1" applyFill="1" applyAlignment="1">
      <alignment vertical="top"/>
    </xf>
    <xf numFmtId="0" fontId="0" fillId="26" borderId="0" xfId="0" applyFill="1" applyAlignment="1">
      <alignment vertical="top"/>
    </xf>
    <xf numFmtId="0" fontId="44" fillId="26" borderId="0" xfId="0" applyFont="1" applyFill="1" applyAlignment="1">
      <alignment vertical="center"/>
    </xf>
    <xf numFmtId="3" fontId="3" fillId="26" borderId="0" xfId="0" applyNumberFormat="1" applyFont="1" applyFill="1"/>
    <xf numFmtId="0" fontId="3" fillId="26" borderId="0" xfId="0" applyFont="1" applyFill="1" applyAlignment="1"/>
    <xf numFmtId="0" fontId="62" fillId="26" borderId="0" xfId="0" applyFont="1" applyFill="1" applyBorder="1"/>
    <xf numFmtId="0" fontId="62" fillId="26" borderId="0" xfId="0" applyFont="1" applyFill="1"/>
    <xf numFmtId="0" fontId="0" fillId="26" borderId="6" xfId="0" applyFill="1" applyBorder="1"/>
    <xf numFmtId="0" fontId="3" fillId="26" borderId="6" xfId="0" applyFont="1" applyFill="1" applyBorder="1"/>
    <xf numFmtId="0" fontId="39" fillId="26" borderId="6" xfId="0" applyFont="1" applyFill="1" applyBorder="1" applyAlignment="1">
      <alignment horizontal="left"/>
    </xf>
    <xf numFmtId="9" fontId="0" fillId="26" borderId="0" xfId="2" applyFont="1" applyFill="1" applyBorder="1" applyAlignment="1">
      <alignment horizontal="center" vertical="top"/>
    </xf>
    <xf numFmtId="9" fontId="0" fillId="26" borderId="0" xfId="2" applyNumberFormat="1" applyFont="1" applyFill="1" applyBorder="1" applyAlignment="1">
      <alignment horizontal="center" vertical="top"/>
    </xf>
    <xf numFmtId="0" fontId="0" fillId="26" borderId="4" xfId="0" applyFill="1" applyBorder="1"/>
    <xf numFmtId="0" fontId="3" fillId="38" borderId="3" xfId="0" applyFont="1" applyFill="1" applyBorder="1"/>
    <xf numFmtId="0" fontId="3" fillId="38" borderId="4" xfId="0" applyFont="1" applyFill="1" applyBorder="1" applyAlignment="1">
      <alignment horizontal="center"/>
    </xf>
    <xf numFmtId="0" fontId="3" fillId="38" borderId="5" xfId="0" applyFont="1" applyFill="1" applyBorder="1" applyAlignment="1">
      <alignment horizontal="center"/>
    </xf>
    <xf numFmtId="0" fontId="3" fillId="38" borderId="8" xfId="0" applyFont="1" applyFill="1" applyBorder="1"/>
    <xf numFmtId="0" fontId="0" fillId="38" borderId="9" xfId="0" applyFill="1" applyBorder="1" applyAlignment="1">
      <alignment horizontal="center" vertical="top"/>
    </xf>
    <xf numFmtId="0" fontId="0" fillId="38" borderId="10" xfId="0" applyFill="1" applyBorder="1" applyAlignment="1">
      <alignment horizontal="center" vertical="top"/>
    </xf>
    <xf numFmtId="0" fontId="0" fillId="38" borderId="6" xfId="0" applyFill="1" applyBorder="1"/>
    <xf numFmtId="9" fontId="0" fillId="38" borderId="0" xfId="2" applyNumberFormat="1" applyFont="1" applyFill="1" applyBorder="1" applyAlignment="1">
      <alignment horizontal="center" vertical="top"/>
    </xf>
    <xf numFmtId="9" fontId="3" fillId="38" borderId="0" xfId="2" applyNumberFormat="1" applyFont="1" applyFill="1" applyBorder="1" applyAlignment="1">
      <alignment horizontal="center" vertical="top"/>
    </xf>
    <xf numFmtId="165" fontId="0" fillId="38" borderId="0" xfId="0" applyNumberFormat="1" applyFill="1" applyBorder="1" applyAlignment="1">
      <alignment horizontal="center" vertical="top"/>
    </xf>
    <xf numFmtId="9" fontId="0" fillId="38" borderId="7" xfId="2" applyNumberFormat="1" applyFont="1" applyFill="1" applyBorder="1" applyAlignment="1">
      <alignment horizontal="center" vertical="top"/>
    </xf>
    <xf numFmtId="0" fontId="39" fillId="38" borderId="0" xfId="0" applyFont="1" applyFill="1" applyAlignment="1">
      <alignment horizontal="center"/>
    </xf>
    <xf numFmtId="0" fontId="39" fillId="38" borderId="0" xfId="0" applyFont="1" applyFill="1"/>
    <xf numFmtId="0" fontId="3" fillId="38" borderId="6" xfId="0" applyFont="1" applyFill="1" applyBorder="1"/>
    <xf numFmtId="0" fontId="0" fillId="38" borderId="7" xfId="0" applyFill="1" applyBorder="1"/>
    <xf numFmtId="0" fontId="0" fillId="38" borderId="8" xfId="0" applyFill="1" applyBorder="1"/>
    <xf numFmtId="164" fontId="0" fillId="38" borderId="9" xfId="2" applyNumberFormat="1" applyFont="1" applyFill="1" applyBorder="1" applyAlignment="1">
      <alignment horizontal="center" vertical="top"/>
    </xf>
    <xf numFmtId="0" fontId="0" fillId="38" borderId="10" xfId="0" applyFill="1" applyBorder="1"/>
    <xf numFmtId="0" fontId="3" fillId="38" borderId="3" xfId="0" applyFont="1" applyFill="1" applyBorder="1" applyAlignment="1">
      <alignment wrapText="1"/>
    </xf>
    <xf numFmtId="0" fontId="3" fillId="38" borderId="4" xfId="0" applyFont="1" applyFill="1" applyBorder="1" applyAlignment="1">
      <alignment horizontal="center" wrapText="1"/>
    </xf>
    <xf numFmtId="0" fontId="3" fillId="38" borderId="5" xfId="0" applyFont="1" applyFill="1" applyBorder="1" applyAlignment="1">
      <alignment horizontal="left" wrapText="1" indent="2"/>
    </xf>
    <xf numFmtId="0" fontId="3" fillId="38" borderId="3" xfId="0" applyFont="1" applyFill="1" applyBorder="1" applyAlignment="1">
      <alignment horizontal="left"/>
    </xf>
    <xf numFmtId="0" fontId="3" fillId="38" borderId="4" xfId="0" applyFont="1" applyFill="1" applyBorder="1"/>
    <xf numFmtId="165" fontId="3" fillId="38" borderId="5" xfId="0" applyNumberFormat="1" applyFont="1" applyFill="1" applyBorder="1" applyAlignment="1">
      <alignment horizontal="center"/>
    </xf>
    <xf numFmtId="0" fontId="3" fillId="38" borderId="6" xfId="0" applyFont="1" applyFill="1" applyBorder="1" applyAlignment="1">
      <alignment wrapText="1"/>
    </xf>
    <xf numFmtId="0" fontId="3" fillId="38" borderId="7" xfId="0" applyFont="1" applyFill="1" applyBorder="1" applyAlignment="1">
      <alignment horizontal="left" wrapText="1" indent="2"/>
    </xf>
    <xf numFmtId="0" fontId="3" fillId="38" borderId="6" xfId="0" applyFont="1" applyFill="1" applyBorder="1" applyAlignment="1">
      <alignment horizontal="left"/>
    </xf>
    <xf numFmtId="9" fontId="0" fillId="38" borderId="7" xfId="2" applyFont="1" applyFill="1" applyBorder="1" applyAlignment="1">
      <alignment horizontal="center"/>
    </xf>
    <xf numFmtId="0" fontId="3" fillId="38" borderId="6" xfId="0" quotePrefix="1" applyFont="1" applyFill="1" applyBorder="1" applyAlignment="1">
      <alignment horizontal="left" indent="1"/>
    </xf>
    <xf numFmtId="2" fontId="0" fillId="38" borderId="0" xfId="0" applyNumberFormat="1" applyFill="1" applyBorder="1" applyAlignment="1">
      <alignment horizontal="center"/>
    </xf>
    <xf numFmtId="0" fontId="3" fillId="38" borderId="7" xfId="0" applyFont="1" applyFill="1" applyBorder="1"/>
    <xf numFmtId="2" fontId="0" fillId="38" borderId="7" xfId="0" applyNumberFormat="1" applyFill="1" applyBorder="1" applyAlignment="1">
      <alignment horizontal="center"/>
    </xf>
    <xf numFmtId="2" fontId="3" fillId="38" borderId="6" xfId="0" applyNumberFormat="1" applyFont="1" applyFill="1" applyBorder="1" applyAlignment="1">
      <alignment horizontal="left"/>
    </xf>
    <xf numFmtId="2" fontId="0" fillId="38" borderId="0" xfId="0" applyNumberFormat="1" applyFill="1" applyBorder="1" applyAlignment="1">
      <alignment horizontal="center" vertical="top"/>
    </xf>
    <xf numFmtId="9" fontId="0" fillId="38" borderId="10" xfId="2" applyFont="1" applyFill="1" applyBorder="1" applyAlignment="1">
      <alignment horizontal="center"/>
    </xf>
    <xf numFmtId="0" fontId="3" fillId="39" borderId="6" xfId="0" applyFont="1" applyFill="1" applyBorder="1"/>
    <xf numFmtId="3" fontId="0" fillId="39" borderId="9" xfId="0" applyNumberFormat="1" applyFill="1" applyBorder="1" applyAlignment="1">
      <alignment horizontal="center"/>
    </xf>
    <xf numFmtId="0" fontId="3" fillId="39" borderId="8" xfId="0" applyFont="1" applyFill="1" applyBorder="1"/>
    <xf numFmtId="0" fontId="3" fillId="26" borderId="0" xfId="0" applyFont="1" applyFill="1" applyBorder="1" applyAlignment="1">
      <alignment horizontal="center"/>
    </xf>
    <xf numFmtId="2" fontId="3" fillId="38" borderId="7" xfId="0" applyNumberFormat="1" applyFont="1" applyFill="1" applyBorder="1" applyAlignment="1">
      <alignment horizontal="center"/>
    </xf>
    <xf numFmtId="0" fontId="3" fillId="38" borderId="6" xfId="0" applyFont="1" applyFill="1" applyBorder="1" applyAlignment="1">
      <alignment horizontal="center"/>
    </xf>
    <xf numFmtId="0" fontId="3" fillId="38" borderId="7" xfId="0" applyFont="1" applyFill="1" applyBorder="1" applyAlignment="1">
      <alignment horizontal="center"/>
    </xf>
    <xf numFmtId="3" fontId="0" fillId="38" borderId="7" xfId="0" applyNumberFormat="1" applyFill="1" applyBorder="1" applyAlignment="1">
      <alignment horizontal="center"/>
    </xf>
    <xf numFmtId="165" fontId="3" fillId="38" borderId="6" xfId="2" applyNumberFormat="1" applyFont="1" applyFill="1" applyBorder="1" applyAlignment="1">
      <alignment horizontal="center"/>
    </xf>
    <xf numFmtId="1" fontId="3" fillId="38" borderId="7" xfId="2" applyNumberFormat="1" applyFont="1" applyFill="1" applyBorder="1" applyAlignment="1">
      <alignment horizontal="center"/>
    </xf>
    <xf numFmtId="165" fontId="3" fillId="38" borderId="6" xfId="0" applyNumberFormat="1" applyFont="1" applyFill="1" applyBorder="1" applyAlignment="1">
      <alignment horizontal="center"/>
    </xf>
    <xf numFmtId="1" fontId="3" fillId="38" borderId="7" xfId="0" applyNumberFormat="1" applyFont="1" applyFill="1" applyBorder="1" applyAlignment="1">
      <alignment horizontal="center"/>
    </xf>
    <xf numFmtId="0" fontId="3" fillId="38" borderId="8" xfId="0" quotePrefix="1" applyFont="1" applyFill="1" applyBorder="1" applyAlignment="1">
      <alignment horizontal="left" indent="1"/>
    </xf>
    <xf numFmtId="0" fontId="0" fillId="38" borderId="9" xfId="0" applyFill="1" applyBorder="1"/>
    <xf numFmtId="3" fontId="0" fillId="38" borderId="9" xfId="0" applyNumberFormat="1" applyFill="1" applyBorder="1" applyAlignment="1">
      <alignment horizontal="center"/>
    </xf>
    <xf numFmtId="3" fontId="0" fillId="38" borderId="10" xfId="0" applyNumberFormat="1" applyFill="1" applyBorder="1" applyAlignment="1">
      <alignment horizontal="center"/>
    </xf>
    <xf numFmtId="165" fontId="0" fillId="38" borderId="8" xfId="2" applyNumberFormat="1" applyFont="1" applyFill="1" applyBorder="1" applyAlignment="1">
      <alignment horizontal="center"/>
    </xf>
    <xf numFmtId="1" fontId="0" fillId="38" borderId="10" xfId="2" applyNumberFormat="1" applyFont="1" applyFill="1" applyBorder="1" applyAlignment="1">
      <alignment horizontal="center"/>
    </xf>
    <xf numFmtId="2" fontId="3" fillId="38" borderId="0" xfId="0" applyNumberFormat="1" applyFont="1" applyFill="1" applyBorder="1" applyAlignment="1">
      <alignment horizontal="center"/>
    </xf>
    <xf numFmtId="0" fontId="3" fillId="38" borderId="11" xfId="0" applyFont="1" applyFill="1" applyBorder="1" applyAlignment="1">
      <alignment horizontal="left" vertical="top" wrapText="1"/>
    </xf>
    <xf numFmtId="0" fontId="3" fillId="38" borderId="11" xfId="0" applyFont="1" applyFill="1" applyBorder="1" applyAlignment="1">
      <alignment horizontal="center" wrapText="1"/>
    </xf>
    <xf numFmtId="0" fontId="0" fillId="38" borderId="11" xfId="0" applyFill="1" applyBorder="1" applyAlignment="1">
      <alignment wrapText="1"/>
    </xf>
    <xf numFmtId="0" fontId="3" fillId="38" borderId="4" xfId="0" quotePrefix="1" applyFont="1" applyFill="1" applyBorder="1" applyAlignment="1">
      <alignment horizontal="center"/>
    </xf>
    <xf numFmtId="0" fontId="3" fillId="38" borderId="4" xfId="0" quotePrefix="1" applyFont="1" applyFill="1" applyBorder="1" applyAlignment="1"/>
    <xf numFmtId="0" fontId="3" fillId="38" borderId="9" xfId="0" quotePrefix="1" applyFont="1" applyFill="1" applyBorder="1" applyAlignment="1">
      <alignment horizontal="center"/>
    </xf>
    <xf numFmtId="0" fontId="3" fillId="38" borderId="9" xfId="0" quotePrefix="1" applyFont="1" applyFill="1" applyBorder="1" applyAlignment="1"/>
    <xf numFmtId="0" fontId="3" fillId="38" borderId="2" xfId="0" applyFont="1" applyFill="1" applyBorder="1" applyAlignment="1">
      <alignment horizontal="left" vertical="top" wrapText="1"/>
    </xf>
    <xf numFmtId="0" fontId="3" fillId="38" borderId="2" xfId="0" applyFont="1" applyFill="1" applyBorder="1" applyAlignment="1">
      <alignment horizontal="center" wrapText="1"/>
    </xf>
    <xf numFmtId="0" fontId="3" fillId="38" borderId="12" xfId="0" applyFont="1" applyFill="1" applyBorder="1" applyAlignment="1">
      <alignment horizontal="center" wrapText="1"/>
    </xf>
    <xf numFmtId="0" fontId="3" fillId="38" borderId="6" xfId="0" quotePrefix="1" applyFont="1" applyFill="1" applyBorder="1" applyAlignment="1">
      <alignment horizontal="center"/>
    </xf>
    <xf numFmtId="0" fontId="3" fillId="38" borderId="5" xfId="0" quotePrefix="1" applyFont="1" applyFill="1" applyBorder="1" applyAlignment="1">
      <alignment horizontal="center"/>
    </xf>
    <xf numFmtId="0" fontId="3" fillId="38" borderId="0" xfId="0" quotePrefix="1" applyFont="1" applyFill="1" applyBorder="1" applyAlignment="1">
      <alignment horizontal="center"/>
    </xf>
    <xf numFmtId="0" fontId="3" fillId="38" borderId="0" xfId="0" quotePrefix="1" applyFont="1" applyFill="1" applyBorder="1" applyAlignment="1"/>
    <xf numFmtId="0" fontId="3" fillId="38" borderId="7" xfId="0" quotePrefix="1" applyFont="1" applyFill="1" applyBorder="1" applyAlignment="1">
      <alignment horizontal="center"/>
    </xf>
    <xf numFmtId="0" fontId="3" fillId="38" borderId="8" xfId="0" quotePrefix="1" applyFont="1" applyFill="1" applyBorder="1" applyAlignment="1">
      <alignment horizontal="center"/>
    </xf>
    <xf numFmtId="0" fontId="3" fillId="38" borderId="10" xfId="0" quotePrefix="1" applyFont="1" applyFill="1" applyBorder="1" applyAlignment="1">
      <alignment horizontal="center"/>
    </xf>
    <xf numFmtId="0" fontId="3" fillId="26" borderId="0" xfId="0" applyFont="1" applyFill="1" applyAlignment="1">
      <alignment horizontal="left" vertical="top" wrapText="1"/>
    </xf>
    <xf numFmtId="0" fontId="0" fillId="38" borderId="2" xfId="0" applyFill="1" applyBorder="1"/>
    <xf numFmtId="0" fontId="0" fillId="38" borderId="11" xfId="0" applyFill="1" applyBorder="1"/>
    <xf numFmtId="0" fontId="3" fillId="38" borderId="11" xfId="0" applyFont="1" applyFill="1" applyBorder="1" applyAlignment="1">
      <alignment horizontal="center"/>
    </xf>
    <xf numFmtId="0" fontId="0" fillId="38" borderId="12" xfId="0" applyFill="1" applyBorder="1"/>
    <xf numFmtId="2" fontId="0" fillId="38" borderId="9" xfId="0" applyNumberFormat="1" applyFill="1" applyBorder="1" applyAlignment="1">
      <alignment horizontal="center"/>
    </xf>
    <xf numFmtId="0" fontId="3" fillId="38" borderId="9" xfId="0" applyFont="1" applyFill="1" applyBorder="1"/>
    <xf numFmtId="0" fontId="3" fillId="38" borderId="10" xfId="0" applyFont="1" applyFill="1" applyBorder="1"/>
    <xf numFmtId="0" fontId="3" fillId="38" borderId="3" xfId="0" applyFont="1" applyFill="1" applyBorder="1" applyAlignment="1">
      <alignment horizontal="center"/>
    </xf>
    <xf numFmtId="0" fontId="0" fillId="38" borderId="4" xfId="0" applyFill="1" applyBorder="1"/>
    <xf numFmtId="2" fontId="0" fillId="38" borderId="3" xfId="0" applyNumberFormat="1" applyFill="1" applyBorder="1" applyAlignment="1">
      <alignment horizontal="center"/>
    </xf>
    <xf numFmtId="2" fontId="0" fillId="38" borderId="4" xfId="0" applyNumberFormat="1" applyFill="1" applyBorder="1" applyAlignment="1">
      <alignment horizontal="center"/>
    </xf>
    <xf numFmtId="2" fontId="0" fillId="38" borderId="5" xfId="0" applyNumberFormat="1" applyFill="1" applyBorder="1" applyAlignment="1">
      <alignment horizontal="center"/>
    </xf>
    <xf numFmtId="3" fontId="0" fillId="38" borderId="6" xfId="0" applyNumberFormat="1" applyFill="1" applyBorder="1" applyAlignment="1">
      <alignment horizontal="center"/>
    </xf>
    <xf numFmtId="3" fontId="0" fillId="38" borderId="8" xfId="0" applyNumberFormat="1" applyFill="1" applyBorder="1" applyAlignment="1">
      <alignment horizontal="center"/>
    </xf>
    <xf numFmtId="0" fontId="0" fillId="26" borderId="7" xfId="0" applyFill="1" applyBorder="1"/>
    <xf numFmtId="0" fontId="3" fillId="26" borderId="9" xfId="0" applyFont="1" applyFill="1" applyBorder="1"/>
    <xf numFmtId="0" fontId="0" fillId="26" borderId="10" xfId="0" applyFill="1" applyBorder="1"/>
    <xf numFmtId="3" fontId="0" fillId="38" borderId="4" xfId="0" applyNumberFormat="1" applyFill="1" applyBorder="1" applyAlignment="1">
      <alignment horizontal="center"/>
    </xf>
    <xf numFmtId="0" fontId="3" fillId="38" borderId="5" xfId="0" applyFont="1" applyFill="1" applyBorder="1"/>
    <xf numFmtId="3" fontId="0" fillId="26" borderId="0" xfId="0" applyNumberFormat="1" applyFill="1" applyAlignment="1">
      <alignment horizontal="center"/>
    </xf>
    <xf numFmtId="0" fontId="3" fillId="38" borderId="0" xfId="0" applyFont="1" applyFill="1"/>
    <xf numFmtId="3" fontId="0" fillId="38" borderId="0" xfId="0" applyNumberFormat="1" applyFill="1" applyAlignment="1">
      <alignment horizontal="center"/>
    </xf>
    <xf numFmtId="0" fontId="3" fillId="38" borderId="0" xfId="0" quotePrefix="1" applyFont="1" applyFill="1" applyAlignment="1">
      <alignment horizontal="left" indent="1"/>
    </xf>
    <xf numFmtId="3" fontId="0" fillId="38" borderId="5" xfId="0" applyNumberFormat="1" applyFill="1" applyBorder="1" applyAlignment="1">
      <alignment horizontal="center"/>
    </xf>
    <xf numFmtId="0" fontId="3" fillId="38" borderId="0" xfId="0" quotePrefix="1" applyFont="1" applyFill="1" applyBorder="1" applyAlignment="1">
      <alignment horizontal="left" indent="1"/>
    </xf>
    <xf numFmtId="1" fontId="0" fillId="38" borderId="7" xfId="0" applyNumberFormat="1" applyFill="1" applyBorder="1" applyAlignment="1">
      <alignment horizontal="center"/>
    </xf>
    <xf numFmtId="0" fontId="0" fillId="38" borderId="0" xfId="0" applyFill="1" applyAlignment="1">
      <alignment horizontal="center"/>
    </xf>
    <xf numFmtId="4" fontId="0" fillId="38" borderId="7" xfId="0" applyNumberFormat="1" applyFill="1" applyBorder="1" applyAlignment="1">
      <alignment horizontal="center"/>
    </xf>
    <xf numFmtId="4" fontId="0" fillId="38" borderId="10" xfId="0" applyNumberFormat="1" applyFill="1" applyBorder="1" applyAlignment="1">
      <alignment horizontal="center"/>
    </xf>
    <xf numFmtId="0" fontId="3" fillId="38" borderId="2" xfId="0" applyFont="1" applyFill="1" applyBorder="1" applyAlignment="1">
      <alignment horizontal="center"/>
    </xf>
    <xf numFmtId="0" fontId="3" fillId="38" borderId="12" xfId="0" applyFont="1" applyFill="1" applyBorder="1" applyAlignment="1">
      <alignment horizontal="center"/>
    </xf>
    <xf numFmtId="0" fontId="3" fillId="39" borderId="2" xfId="0" applyFont="1" applyFill="1" applyBorder="1"/>
    <xf numFmtId="0" fontId="0" fillId="39" borderId="11" xfId="0" applyFill="1" applyBorder="1"/>
    <xf numFmtId="0" fontId="0" fillId="39" borderId="11" xfId="0" applyFill="1" applyBorder="1" applyAlignment="1">
      <alignment horizontal="center"/>
    </xf>
    <xf numFmtId="0" fontId="0" fillId="39" borderId="12" xfId="0" applyFill="1" applyBorder="1" applyAlignment="1">
      <alignment horizontal="center"/>
    </xf>
    <xf numFmtId="3" fontId="0" fillId="39" borderId="7" xfId="0" applyNumberFormat="1" applyFill="1" applyBorder="1" applyAlignment="1">
      <alignment horizontal="center"/>
    </xf>
    <xf numFmtId="0" fontId="0" fillId="39" borderId="9" xfId="0" applyFill="1" applyBorder="1"/>
    <xf numFmtId="3" fontId="0" fillId="39" borderId="10" xfId="0" applyNumberFormat="1" applyFill="1" applyBorder="1" applyAlignment="1">
      <alignment horizontal="center"/>
    </xf>
    <xf numFmtId="0" fontId="3" fillId="38" borderId="2" xfId="0" quotePrefix="1" applyFont="1" applyFill="1" applyBorder="1" applyAlignment="1"/>
    <xf numFmtId="0" fontId="3" fillId="38" borderId="11" xfId="0" applyFont="1" applyFill="1" applyBorder="1" applyAlignment="1">
      <alignment horizontal="right" vertical="center" wrapText="1"/>
    </xf>
    <xf numFmtId="0" fontId="3" fillId="38" borderId="11" xfId="0" applyFont="1" applyFill="1" applyBorder="1" applyAlignment="1">
      <alignment horizontal="center" vertical="center" wrapText="1"/>
    </xf>
    <xf numFmtId="0" fontId="3" fillId="38" borderId="12" xfId="0" applyFont="1" applyFill="1" applyBorder="1" applyAlignment="1">
      <alignment horizontal="center" vertical="center" wrapText="1"/>
    </xf>
    <xf numFmtId="0" fontId="3" fillId="38" borderId="6" xfId="0" quotePrefix="1" applyFont="1" applyFill="1" applyBorder="1" applyAlignment="1"/>
    <xf numFmtId="0" fontId="3" fillId="38" borderId="0" xfId="0" applyFont="1" applyFill="1" applyBorder="1" applyAlignment="1">
      <alignment horizontal="right" vertical="center" wrapText="1"/>
    </xf>
    <xf numFmtId="1" fontId="3" fillId="38" borderId="0" xfId="0" applyNumberFormat="1" applyFont="1" applyFill="1" applyBorder="1" applyAlignment="1">
      <alignment horizontal="center" vertical="center" wrapText="1"/>
    </xf>
    <xf numFmtId="1" fontId="3" fillId="38" borderId="7" xfId="0" applyNumberFormat="1" applyFont="1" applyFill="1" applyBorder="1" applyAlignment="1">
      <alignment horizontal="center" vertical="center" wrapText="1"/>
    </xf>
    <xf numFmtId="0" fontId="3" fillId="38" borderId="0" xfId="0" quotePrefix="1" applyFont="1" applyFill="1" applyBorder="1" applyAlignment="1">
      <alignment horizontal="right" wrapText="1"/>
    </xf>
    <xf numFmtId="0" fontId="3" fillId="38" borderId="8" xfId="0" quotePrefix="1" applyFont="1" applyFill="1" applyBorder="1" applyAlignment="1"/>
    <xf numFmtId="0" fontId="3" fillId="38" borderId="9" xfId="0" quotePrefix="1" applyFont="1" applyFill="1" applyBorder="1" applyAlignment="1">
      <alignment horizontal="right"/>
    </xf>
    <xf numFmtId="1" fontId="3" fillId="38" borderId="9" xfId="0" applyNumberFormat="1" applyFont="1" applyFill="1" applyBorder="1" applyAlignment="1">
      <alignment horizontal="center" vertical="center" wrapText="1"/>
    </xf>
    <xf numFmtId="1" fontId="3" fillId="38" borderId="10" xfId="0" applyNumberFormat="1" applyFont="1" applyFill="1" applyBorder="1" applyAlignment="1">
      <alignment horizontal="center" vertical="center" wrapText="1"/>
    </xf>
    <xf numFmtId="0" fontId="3" fillId="38" borderId="3" xfId="0" applyFont="1" applyFill="1" applyBorder="1" applyAlignment="1">
      <alignment horizontal="center" vertical="center" wrapText="1"/>
    </xf>
    <xf numFmtId="0" fontId="3" fillId="38" borderId="4" xfId="0" applyFont="1" applyFill="1" applyBorder="1" applyAlignment="1">
      <alignment horizontal="center" vertical="center" wrapText="1"/>
    </xf>
    <xf numFmtId="0" fontId="3" fillId="38" borderId="5" xfId="0" applyFont="1" applyFill="1" applyBorder="1" applyAlignment="1">
      <alignment vertical="center" wrapText="1"/>
    </xf>
    <xf numFmtId="0" fontId="3" fillId="38" borderId="3" xfId="0" quotePrefix="1" applyFont="1" applyFill="1" applyBorder="1" applyAlignment="1">
      <alignment horizontal="left" indent="2"/>
    </xf>
    <xf numFmtId="0" fontId="3" fillId="38" borderId="4" xfId="0" applyFont="1" applyFill="1" applyBorder="1" applyAlignment="1"/>
    <xf numFmtId="3" fontId="3" fillId="38" borderId="4" xfId="0" applyNumberFormat="1" applyFont="1" applyFill="1" applyBorder="1" applyAlignment="1">
      <alignment horizontal="center"/>
    </xf>
    <xf numFmtId="3" fontId="3" fillId="38" borderId="4" xfId="0" quotePrefix="1" applyNumberFormat="1" applyFont="1" applyFill="1" applyBorder="1" applyAlignment="1">
      <alignment horizontal="center" wrapText="1"/>
    </xf>
    <xf numFmtId="0" fontId="3" fillId="38" borderId="5" xfId="0" quotePrefix="1" applyFont="1" applyFill="1" applyBorder="1" applyAlignment="1">
      <alignment wrapText="1"/>
    </xf>
    <xf numFmtId="0" fontId="3" fillId="38" borderId="6" xfId="0" quotePrefix="1" applyFont="1" applyFill="1" applyBorder="1" applyAlignment="1">
      <alignment horizontal="left" indent="2"/>
    </xf>
    <xf numFmtId="0" fontId="3" fillId="38" borderId="0" xfId="0" applyFont="1" applyFill="1" applyBorder="1" applyAlignment="1"/>
    <xf numFmtId="3" fontId="3" fillId="38" borderId="0" xfId="0" applyNumberFormat="1" applyFont="1" applyFill="1" applyBorder="1" applyAlignment="1">
      <alignment horizontal="center"/>
    </xf>
    <xf numFmtId="0" fontId="3" fillId="38" borderId="7" xfId="0" quotePrefix="1" applyFont="1" applyFill="1" applyBorder="1" applyAlignment="1">
      <alignment wrapText="1"/>
    </xf>
    <xf numFmtId="0" fontId="3" fillId="38" borderId="0" xfId="0" quotePrefix="1" applyFont="1" applyFill="1" applyBorder="1" applyAlignment="1">
      <alignment wrapText="1"/>
    </xf>
    <xf numFmtId="3" fontId="3" fillId="38" borderId="0" xfId="0" quotePrefix="1" applyNumberFormat="1" applyFont="1" applyFill="1" applyBorder="1" applyAlignment="1">
      <alignment horizontal="center" wrapText="1"/>
    </xf>
    <xf numFmtId="0" fontId="3" fillId="38" borderId="8" xfId="0" quotePrefix="1" applyFont="1" applyFill="1" applyBorder="1" applyAlignment="1">
      <alignment horizontal="left" indent="2"/>
    </xf>
    <xf numFmtId="0" fontId="3" fillId="38" borderId="9" xfId="0" quotePrefix="1" applyFont="1" applyFill="1" applyBorder="1" applyAlignment="1">
      <alignment wrapText="1"/>
    </xf>
    <xf numFmtId="3" fontId="3" fillId="38" borderId="9" xfId="0" quotePrefix="1" applyNumberFormat="1" applyFont="1" applyFill="1" applyBorder="1" applyAlignment="1">
      <alignment horizontal="center" wrapText="1"/>
    </xf>
    <xf numFmtId="0" fontId="3" fillId="38" borderId="10" xfId="0" quotePrefix="1" applyFont="1" applyFill="1" applyBorder="1" applyAlignment="1">
      <alignment wrapText="1"/>
    </xf>
    <xf numFmtId="4" fontId="3" fillId="26" borderId="0" xfId="0" quotePrefix="1" applyNumberFormat="1" applyFont="1" applyFill="1" applyAlignment="1">
      <alignment horizontal="center" wrapText="1"/>
    </xf>
    <xf numFmtId="0" fontId="12" fillId="38" borderId="3" xfId="0" applyFont="1" applyFill="1" applyBorder="1" applyAlignment="1">
      <alignment horizontal="left" vertical="center"/>
    </xf>
    <xf numFmtId="0" fontId="12" fillId="38" borderId="4" xfId="0" applyFont="1" applyFill="1" applyBorder="1" applyAlignment="1">
      <alignment horizontal="left" vertical="center" indent="2"/>
    </xf>
    <xf numFmtId="0" fontId="3" fillId="38" borderId="6" xfId="0" quotePrefix="1" applyFont="1" applyFill="1" applyBorder="1" applyAlignment="1">
      <alignment horizontal="left"/>
    </xf>
    <xf numFmtId="0" fontId="3" fillId="38" borderId="0" xfId="0" quotePrefix="1" applyFont="1" applyFill="1" applyBorder="1" applyAlignment="1">
      <alignment horizontal="left" indent="2"/>
    </xf>
    <xf numFmtId="9" fontId="3" fillId="38" borderId="0" xfId="2" applyFont="1" applyFill="1" applyBorder="1" applyAlignment="1">
      <alignment horizontal="center"/>
    </xf>
    <xf numFmtId="9" fontId="3" fillId="38" borderId="7" xfId="2" applyFont="1" applyFill="1" applyBorder="1" applyAlignment="1">
      <alignment horizontal="center"/>
    </xf>
    <xf numFmtId="0" fontId="3" fillId="38" borderId="8" xfId="0" quotePrefix="1" applyFont="1" applyFill="1" applyBorder="1" applyAlignment="1">
      <alignment horizontal="left"/>
    </xf>
    <xf numFmtId="0" fontId="3" fillId="38" borderId="9" xfId="0" quotePrefix="1" applyFont="1" applyFill="1" applyBorder="1" applyAlignment="1">
      <alignment horizontal="left" indent="2"/>
    </xf>
    <xf numFmtId="9" fontId="3" fillId="38" borderId="9" xfId="2" applyFont="1" applyFill="1" applyBorder="1" applyAlignment="1">
      <alignment horizontal="center"/>
    </xf>
    <xf numFmtId="9" fontId="3" fillId="38" borderId="10" xfId="2" applyFont="1" applyFill="1" applyBorder="1" applyAlignment="1">
      <alignment horizontal="center"/>
    </xf>
    <xf numFmtId="0" fontId="30" fillId="26" borderId="0" xfId="0" applyFont="1" applyFill="1" applyBorder="1" applyAlignment="1">
      <alignment horizontal="left" wrapText="1"/>
    </xf>
    <xf numFmtId="0" fontId="3" fillId="38" borderId="4" xfId="0" applyFont="1" applyFill="1" applyBorder="1" applyAlignment="1">
      <alignment horizontal="right"/>
    </xf>
    <xf numFmtId="9" fontId="0" fillId="38" borderId="4" xfId="2" applyFont="1" applyFill="1" applyBorder="1" applyAlignment="1">
      <alignment horizontal="center"/>
    </xf>
    <xf numFmtId="9" fontId="0" fillId="38" borderId="9" xfId="2" applyFont="1" applyFill="1" applyBorder="1" applyAlignment="1">
      <alignment horizontal="center"/>
    </xf>
    <xf numFmtId="0" fontId="3" fillId="38" borderId="9" xfId="0" applyFont="1" applyFill="1" applyBorder="1" applyAlignment="1">
      <alignment horizontal="right"/>
    </xf>
    <xf numFmtId="9" fontId="0" fillId="38" borderId="5" xfId="2" applyFont="1" applyFill="1" applyBorder="1" applyAlignment="1">
      <alignment horizontal="center"/>
    </xf>
    <xf numFmtId="1" fontId="0" fillId="38" borderId="4" xfId="0" applyNumberFormat="1" applyFill="1" applyBorder="1" applyAlignment="1">
      <alignment horizontal="center"/>
    </xf>
    <xf numFmtId="1" fontId="0" fillId="38" borderId="0" xfId="0" applyNumberFormat="1" applyFill="1" applyBorder="1" applyAlignment="1">
      <alignment horizontal="center"/>
    </xf>
    <xf numFmtId="1" fontId="0" fillId="38" borderId="9" xfId="2" applyNumberFormat="1" applyFont="1" applyFill="1" applyBorder="1" applyAlignment="1">
      <alignment horizontal="center"/>
    </xf>
    <xf numFmtId="1" fontId="0" fillId="38" borderId="3" xfId="0" applyNumberFormat="1" applyFill="1" applyBorder="1" applyAlignment="1">
      <alignment horizontal="center"/>
    </xf>
    <xf numFmtId="1" fontId="0" fillId="38" borderId="5" xfId="0" applyNumberFormat="1" applyFill="1" applyBorder="1" applyAlignment="1">
      <alignment horizontal="center"/>
    </xf>
    <xf numFmtId="1" fontId="0" fillId="38" borderId="6" xfId="0" applyNumberFormat="1" applyFill="1" applyBorder="1" applyAlignment="1">
      <alignment horizontal="center"/>
    </xf>
    <xf numFmtId="1" fontId="0" fillId="38" borderId="8" xfId="2" applyNumberFormat="1" applyFont="1" applyFill="1" applyBorder="1" applyAlignment="1">
      <alignment horizontal="center"/>
    </xf>
    <xf numFmtId="0" fontId="12" fillId="38" borderId="0" xfId="0" applyFont="1" applyFill="1"/>
    <xf numFmtId="1" fontId="3" fillId="38" borderId="0" xfId="2" applyNumberFormat="1" applyFont="1" applyFill="1" applyBorder="1" applyAlignment="1">
      <alignment horizontal="center"/>
    </xf>
    <xf numFmtId="1" fontId="0" fillId="38" borderId="7" xfId="2" applyNumberFormat="1" applyFont="1" applyFill="1" applyBorder="1" applyAlignment="1">
      <alignment horizontal="center"/>
    </xf>
    <xf numFmtId="9" fontId="0" fillId="38" borderId="7" xfId="0" applyNumberFormat="1" applyFill="1" applyBorder="1" applyAlignment="1">
      <alignment horizontal="center"/>
    </xf>
    <xf numFmtId="1" fontId="0" fillId="38" borderId="10" xfId="0" applyNumberFormat="1" applyFill="1" applyBorder="1" applyAlignment="1">
      <alignment horizontal="center"/>
    </xf>
    <xf numFmtId="0" fontId="12" fillId="38" borderId="2" xfId="0" applyFont="1" applyFill="1" applyBorder="1"/>
    <xf numFmtId="0" fontId="12" fillId="38" borderId="11" xfId="0" applyFont="1" applyFill="1" applyBorder="1" applyAlignment="1">
      <alignment horizontal="right"/>
    </xf>
    <xf numFmtId="0" fontId="12" fillId="38" borderId="11" xfId="0" applyFont="1" applyFill="1" applyBorder="1"/>
    <xf numFmtId="0" fontId="16" fillId="26" borderId="0" xfId="0" quotePrefix="1" applyFont="1" applyFill="1"/>
    <xf numFmtId="3" fontId="5" fillId="26" borderId="0" xfId="0" applyNumberFormat="1" applyFont="1" applyFill="1" applyBorder="1" applyAlignment="1">
      <alignment horizontal="center"/>
    </xf>
    <xf numFmtId="1" fontId="12" fillId="26" borderId="0" xfId="0" applyNumberFormat="1" applyFont="1" applyFill="1" applyAlignment="1">
      <alignment horizontal="center"/>
    </xf>
    <xf numFmtId="1" fontId="12" fillId="26" borderId="0" xfId="0" applyNumberFormat="1" applyFont="1" applyFill="1" applyBorder="1" applyAlignment="1">
      <alignment horizontal="center"/>
    </xf>
    <xf numFmtId="0" fontId="75" fillId="26" borderId="0" xfId="0" applyFont="1" applyFill="1" applyAlignment="1">
      <alignment horizontal="left" wrapText="1"/>
    </xf>
    <xf numFmtId="0" fontId="16" fillId="38" borderId="9" xfId="0" applyFont="1" applyFill="1" applyBorder="1"/>
    <xf numFmtId="0" fontId="3" fillId="38" borderId="9" xfId="0" applyFont="1" applyFill="1" applyBorder="1" applyAlignment="1">
      <alignment horizontal="center"/>
    </xf>
    <xf numFmtId="0" fontId="5" fillId="38" borderId="11" xfId="0" applyFont="1" applyFill="1" applyBorder="1"/>
    <xf numFmtId="3" fontId="5" fillId="38" borderId="11" xfId="0" applyNumberFormat="1" applyFont="1" applyFill="1" applyBorder="1" applyAlignment="1">
      <alignment horizontal="center"/>
    </xf>
    <xf numFmtId="1" fontId="12" fillId="38" borderId="0" xfId="0" applyNumberFormat="1" applyFont="1" applyFill="1" applyAlignment="1">
      <alignment horizontal="center"/>
    </xf>
    <xf numFmtId="0" fontId="12" fillId="38" borderId="9" xfId="0" applyFont="1" applyFill="1" applyBorder="1"/>
    <xf numFmtId="1" fontId="12" fillId="38" borderId="9" xfId="0" applyNumberFormat="1" applyFont="1" applyFill="1" applyBorder="1" applyAlignment="1">
      <alignment horizontal="center"/>
    </xf>
    <xf numFmtId="3" fontId="0" fillId="38" borderId="0" xfId="0" applyNumberFormat="1" applyFill="1"/>
    <xf numFmtId="3" fontId="0" fillId="38" borderId="9" xfId="0" applyNumberFormat="1" applyFill="1" applyBorder="1"/>
    <xf numFmtId="3" fontId="12" fillId="38" borderId="0" xfId="0" applyNumberFormat="1" applyFont="1" applyFill="1"/>
    <xf numFmtId="3" fontId="12" fillId="38" borderId="0" xfId="0" applyNumberFormat="1" applyFont="1" applyFill="1" applyAlignment="1">
      <alignment horizontal="center"/>
    </xf>
    <xf numFmtId="3" fontId="12" fillId="38" borderId="9" xfId="0" applyNumberFormat="1" applyFont="1" applyFill="1" applyBorder="1" applyAlignment="1">
      <alignment horizontal="center"/>
    </xf>
    <xf numFmtId="3" fontId="3" fillId="38" borderId="9" xfId="0" applyNumberFormat="1" applyFont="1" applyFill="1" applyBorder="1" applyAlignment="1">
      <alignment horizontal="center"/>
    </xf>
    <xf numFmtId="2" fontId="5" fillId="38" borderId="0" xfId="0" applyNumberFormat="1" applyFont="1" applyFill="1" applyAlignment="1">
      <alignment horizontal="center"/>
    </xf>
    <xf numFmtId="3" fontId="12" fillId="26" borderId="0" xfId="0" applyNumberFormat="1" applyFont="1" applyFill="1" applyAlignment="1">
      <alignment horizontal="center"/>
    </xf>
    <xf numFmtId="0" fontId="80" fillId="26" borderId="0" xfId="0" applyFont="1" applyFill="1" applyAlignment="1">
      <alignment vertical="top"/>
    </xf>
    <xf numFmtId="0" fontId="80" fillId="26" borderId="0" xfId="0" applyFont="1" applyFill="1" applyAlignment="1">
      <alignment vertical="top" wrapText="1"/>
    </xf>
    <xf numFmtId="0" fontId="80" fillId="26" borderId="0" xfId="0" applyFont="1" applyFill="1" applyAlignment="1">
      <alignment wrapText="1"/>
    </xf>
    <xf numFmtId="0" fontId="12" fillId="26" borderId="4" xfId="0" applyFont="1" applyFill="1" applyBorder="1"/>
    <xf numFmtId="1" fontId="12" fillId="26" borderId="4" xfId="0" applyNumberFormat="1" applyFont="1" applyFill="1" applyBorder="1" applyAlignment="1">
      <alignment horizontal="center"/>
    </xf>
    <xf numFmtId="0" fontId="80" fillId="26" borderId="0" xfId="0" applyFont="1" applyFill="1" applyBorder="1" applyAlignment="1">
      <alignment wrapText="1"/>
    </xf>
    <xf numFmtId="3" fontId="5" fillId="38" borderId="11" xfId="0" applyNumberFormat="1" applyFont="1" applyFill="1" applyBorder="1"/>
    <xf numFmtId="3" fontId="12" fillId="38" borderId="11" xfId="0" applyNumberFormat="1" applyFont="1" applyFill="1" applyBorder="1"/>
    <xf numFmtId="3" fontId="12" fillId="38" borderId="11" xfId="0" applyNumberFormat="1" applyFont="1" applyFill="1" applyBorder="1" applyAlignment="1">
      <alignment horizontal="center"/>
    </xf>
    <xf numFmtId="0" fontId="3" fillId="38" borderId="0" xfId="0" applyFont="1" applyFill="1" applyAlignment="1">
      <alignment horizontal="left" indent="1"/>
    </xf>
    <xf numFmtId="0" fontId="12" fillId="26" borderId="0" xfId="0" applyFont="1" applyFill="1" applyBorder="1"/>
    <xf numFmtId="3" fontId="12" fillId="26" borderId="0" xfId="0" applyNumberFormat="1" applyFont="1" applyFill="1" applyBorder="1" applyAlignment="1">
      <alignment horizontal="center"/>
    </xf>
    <xf numFmtId="3" fontId="0" fillId="26" borderId="0" xfId="0" applyNumberFormat="1" applyFill="1" applyBorder="1"/>
    <xf numFmtId="3" fontId="3" fillId="25" borderId="6" xfId="0" applyNumberFormat="1" applyFont="1" applyFill="1" applyBorder="1" applyAlignment="1">
      <alignment horizontal="right"/>
    </xf>
    <xf numFmtId="2" fontId="0" fillId="25" borderId="0" xfId="0" applyNumberFormat="1" applyFill="1" applyBorder="1" applyAlignment="1">
      <alignment horizontal="center"/>
    </xf>
    <xf numFmtId="3" fontId="0" fillId="25" borderId="0" xfId="0" applyNumberFormat="1" applyFill="1" applyBorder="1" applyAlignment="1">
      <alignment horizontal="center"/>
    </xf>
    <xf numFmtId="2" fontId="3" fillId="25" borderId="7" xfId="0" quotePrefix="1" applyNumberFormat="1" applyFont="1" applyFill="1" applyBorder="1" applyAlignment="1">
      <alignment horizontal="left"/>
    </xf>
    <xf numFmtId="0" fontId="3" fillId="25" borderId="6" xfId="0" applyFont="1" applyFill="1" applyBorder="1"/>
    <xf numFmtId="2" fontId="0" fillId="25" borderId="7" xfId="0" applyNumberFormat="1" applyFill="1" applyBorder="1" applyAlignment="1">
      <alignment horizontal="center"/>
    </xf>
    <xf numFmtId="9" fontId="0" fillId="25" borderId="7" xfId="2" applyFont="1" applyFill="1" applyBorder="1" applyAlignment="1">
      <alignment horizontal="center"/>
    </xf>
    <xf numFmtId="3" fontId="3" fillId="25" borderId="8" xfId="0" applyNumberFormat="1" applyFont="1" applyFill="1" applyBorder="1" applyAlignment="1">
      <alignment horizontal="right"/>
    </xf>
    <xf numFmtId="0" fontId="39" fillId="25" borderId="9" xfId="0" applyFont="1" applyFill="1" applyBorder="1" applyAlignment="1">
      <alignment horizontal="right"/>
    </xf>
    <xf numFmtId="3" fontId="0" fillId="25" borderId="9" xfId="0" applyNumberFormat="1" applyFill="1" applyBorder="1" applyAlignment="1">
      <alignment horizontal="center"/>
    </xf>
    <xf numFmtId="2" fontId="3" fillId="25" borderId="10" xfId="0" quotePrefix="1" applyNumberFormat="1" applyFont="1" applyFill="1" applyBorder="1" applyAlignment="1">
      <alignment horizontal="left"/>
    </xf>
    <xf numFmtId="0" fontId="3" fillId="25" borderId="8" xfId="0" applyFont="1" applyFill="1" applyBorder="1"/>
    <xf numFmtId="9" fontId="0" fillId="25" borderId="10" xfId="2" applyFont="1" applyFill="1" applyBorder="1" applyAlignment="1">
      <alignment horizontal="center"/>
    </xf>
    <xf numFmtId="0" fontId="11" fillId="25" borderId="4" xfId="0" applyFont="1" applyFill="1" applyBorder="1" applyAlignment="1">
      <alignment horizontal="left" vertical="top" wrapText="1"/>
    </xf>
    <xf numFmtId="0" fontId="3" fillId="25" borderId="4" xfId="0" applyFont="1" applyFill="1" applyBorder="1" applyAlignment="1">
      <alignment horizontal="center" vertical="top" wrapText="1"/>
    </xf>
    <xf numFmtId="0" fontId="3" fillId="25" borderId="4" xfId="0" applyFont="1" applyFill="1" applyBorder="1" applyAlignment="1">
      <alignment horizontal="center" vertical="top"/>
    </xf>
    <xf numFmtId="0" fontId="11" fillId="25" borderId="9" xfId="0" applyFont="1" applyFill="1" applyBorder="1" applyAlignment="1">
      <alignment horizontal="left" vertical="top" wrapText="1"/>
    </xf>
    <xf numFmtId="0" fontId="3" fillId="25" borderId="9" xfId="0" applyFont="1" applyFill="1" applyBorder="1" applyAlignment="1">
      <alignment horizontal="center" vertical="top" wrapText="1"/>
    </xf>
    <xf numFmtId="0" fontId="11" fillId="25" borderId="8" xfId="0" applyFont="1" applyFill="1" applyBorder="1" applyAlignment="1">
      <alignment horizontal="left" vertical="top" wrapText="1"/>
    </xf>
    <xf numFmtId="0" fontId="11" fillId="25" borderId="10" xfId="0" applyFont="1" applyFill="1" applyBorder="1" applyAlignment="1">
      <alignment horizontal="left" vertical="top" wrapText="1"/>
    </xf>
    <xf numFmtId="0" fontId="3" fillId="25" borderId="6" xfId="0" applyFont="1" applyFill="1" applyBorder="1" applyAlignment="1">
      <alignment horizontal="left" vertical="top"/>
    </xf>
    <xf numFmtId="0" fontId="3" fillId="25" borderId="0" xfId="0" applyFont="1" applyFill="1" applyBorder="1" applyAlignment="1">
      <alignment horizontal="right" vertical="top"/>
    </xf>
    <xf numFmtId="0" fontId="3" fillId="25" borderId="0" xfId="0" applyFont="1" applyFill="1" applyBorder="1" applyAlignment="1">
      <alignment horizontal="right" vertical="top" wrapText="1"/>
    </xf>
    <xf numFmtId="2" fontId="3" fillId="25" borderId="0" xfId="0" applyNumberFormat="1" applyFont="1" applyFill="1" applyBorder="1" applyAlignment="1">
      <alignment horizontal="center" vertical="top" wrapText="1"/>
    </xf>
    <xf numFmtId="0" fontId="3" fillId="25" borderId="6" xfId="0" applyFont="1" applyFill="1" applyBorder="1" applyAlignment="1">
      <alignment horizontal="center" vertical="top" wrapText="1"/>
    </xf>
    <xf numFmtId="3" fontId="3" fillId="25" borderId="7" xfId="0" applyNumberFormat="1" applyFont="1" applyFill="1" applyBorder="1" applyAlignment="1">
      <alignment horizontal="center" vertical="top" wrapText="1"/>
    </xf>
    <xf numFmtId="1" fontId="3" fillId="25" borderId="0" xfId="0" applyNumberFormat="1" applyFont="1" applyFill="1" applyBorder="1" applyAlignment="1">
      <alignment horizontal="center" vertical="top" wrapText="1"/>
    </xf>
    <xf numFmtId="0" fontId="11" fillId="25" borderId="6" xfId="0" applyFont="1" applyFill="1" applyBorder="1" applyAlignment="1">
      <alignment horizontal="left" vertical="top" wrapText="1"/>
    </xf>
    <xf numFmtId="0" fontId="11" fillId="25" borderId="7" xfId="0" applyFont="1" applyFill="1" applyBorder="1" applyAlignment="1">
      <alignment horizontal="left" vertical="top" wrapText="1"/>
    </xf>
    <xf numFmtId="0" fontId="11" fillId="25" borderId="6" xfId="0" applyFont="1" applyFill="1" applyBorder="1" applyAlignment="1">
      <alignment horizontal="center" vertical="top" wrapText="1"/>
    </xf>
    <xf numFmtId="0" fontId="11" fillId="25" borderId="7" xfId="0" applyFont="1" applyFill="1" applyBorder="1" applyAlignment="1">
      <alignment horizontal="center" vertical="top" wrapText="1"/>
    </xf>
    <xf numFmtId="0" fontId="3" fillId="25" borderId="9" xfId="0" applyFont="1" applyFill="1" applyBorder="1" applyAlignment="1">
      <alignment horizontal="right" vertical="top"/>
    </xf>
    <xf numFmtId="1" fontId="3" fillId="25" borderId="9" xfId="0" applyNumberFormat="1" applyFont="1" applyFill="1" applyBorder="1" applyAlignment="1">
      <alignment horizontal="center" vertical="top" wrapText="1"/>
    </xf>
    <xf numFmtId="0" fontId="3" fillId="25" borderId="4" xfId="0" applyFont="1" applyFill="1" applyBorder="1" applyAlignment="1">
      <alignment horizontal="left" vertical="top"/>
    </xf>
    <xf numFmtId="0" fontId="3" fillId="25" borderId="8" xfId="0" applyFont="1" applyFill="1" applyBorder="1" applyAlignment="1">
      <alignment horizontal="left" vertical="top"/>
    </xf>
    <xf numFmtId="0" fontId="3" fillId="25" borderId="9" xfId="0" applyFont="1" applyFill="1" applyBorder="1" applyAlignment="1">
      <alignment horizontal="left" vertical="top"/>
    </xf>
    <xf numFmtId="9" fontId="3" fillId="25" borderId="7" xfId="0" applyNumberFormat="1" applyFont="1" applyFill="1" applyBorder="1" applyAlignment="1">
      <alignment horizontal="center" vertical="top" wrapText="1"/>
    </xf>
    <xf numFmtId="0" fontId="3" fillId="25" borderId="8" xfId="0" applyFont="1" applyFill="1" applyBorder="1" applyAlignment="1">
      <alignment horizontal="center" vertical="top" wrapText="1"/>
    </xf>
    <xf numFmtId="9" fontId="3" fillId="25" borderId="10" xfId="0" applyNumberFormat="1" applyFont="1" applyFill="1" applyBorder="1" applyAlignment="1">
      <alignment horizontal="center" vertical="top" wrapText="1"/>
    </xf>
    <xf numFmtId="0" fontId="103" fillId="38" borderId="6" xfId="0" applyFont="1" applyFill="1" applyBorder="1"/>
    <xf numFmtId="0" fontId="103" fillId="38" borderId="0" xfId="0" applyFont="1" applyFill="1" applyBorder="1" applyAlignment="1">
      <alignment horizontal="right"/>
    </xf>
    <xf numFmtId="9" fontId="103" fillId="38" borderId="0" xfId="2" applyFont="1" applyFill="1" applyBorder="1" applyAlignment="1">
      <alignment horizontal="center"/>
    </xf>
    <xf numFmtId="1" fontId="103" fillId="38" borderId="0" xfId="0" applyNumberFormat="1" applyFont="1" applyFill="1" applyBorder="1" applyAlignment="1">
      <alignment horizontal="center"/>
    </xf>
    <xf numFmtId="1" fontId="103" fillId="38" borderId="0" xfId="2" applyNumberFormat="1" applyFont="1" applyFill="1" applyBorder="1" applyAlignment="1">
      <alignment horizontal="center"/>
    </xf>
    <xf numFmtId="0" fontId="103" fillId="38" borderId="0" xfId="0" applyFont="1" applyFill="1" applyBorder="1"/>
    <xf numFmtId="1" fontId="103" fillId="38" borderId="7" xfId="0" applyNumberFormat="1" applyFont="1" applyFill="1" applyBorder="1" applyAlignment="1">
      <alignment horizontal="center"/>
    </xf>
    <xf numFmtId="0" fontId="44" fillId="38" borderId="0" xfId="0" applyFont="1" applyFill="1" applyAlignment="1">
      <alignment horizontal="center" vertical="top" wrapText="1"/>
    </xf>
    <xf numFmtId="0" fontId="44" fillId="38" borderId="6" xfId="0" applyFont="1" applyFill="1" applyBorder="1" applyAlignment="1">
      <alignment horizontal="center" vertical="top" wrapText="1"/>
    </xf>
    <xf numFmtId="0" fontId="44" fillId="38" borderId="7" xfId="0" applyFont="1" applyFill="1" applyBorder="1" applyAlignment="1">
      <alignment horizontal="center" vertical="top" wrapText="1"/>
    </xf>
    <xf numFmtId="3" fontId="103" fillId="38" borderId="0" xfId="0" applyNumberFormat="1" applyFont="1" applyFill="1" applyBorder="1" applyAlignment="1">
      <alignment horizontal="center"/>
    </xf>
    <xf numFmtId="0" fontId="103" fillId="38" borderId="9" xfId="0" applyFont="1" applyFill="1" applyBorder="1"/>
    <xf numFmtId="1" fontId="103" fillId="38" borderId="9" xfId="0" applyNumberFormat="1" applyFont="1" applyFill="1" applyBorder="1" applyAlignment="1">
      <alignment horizontal="center"/>
    </xf>
    <xf numFmtId="0" fontId="103" fillId="38" borderId="10" xfId="0" applyFont="1" applyFill="1" applyBorder="1"/>
    <xf numFmtId="0" fontId="44" fillId="26" borderId="0" xfId="0" applyFont="1" applyFill="1" applyAlignment="1">
      <alignment horizontal="left"/>
    </xf>
    <xf numFmtId="0" fontId="44" fillId="26" borderId="0" xfId="0" applyFont="1" applyFill="1"/>
    <xf numFmtId="9" fontId="103" fillId="38" borderId="10" xfId="0" applyNumberFormat="1" applyFont="1" applyFill="1" applyBorder="1" applyAlignment="1">
      <alignment horizontal="center"/>
    </xf>
    <xf numFmtId="0" fontId="103" fillId="38" borderId="7" xfId="0" applyFont="1" applyFill="1" applyBorder="1" applyAlignment="1">
      <alignment horizontal="center"/>
    </xf>
    <xf numFmtId="3" fontId="103" fillId="38" borderId="7" xfId="0" applyNumberFormat="1" applyFont="1" applyFill="1" applyBorder="1" applyAlignment="1">
      <alignment horizontal="center"/>
    </xf>
    <xf numFmtId="0" fontId="0" fillId="38" borderId="0" xfId="0" applyFill="1" applyBorder="1"/>
    <xf numFmtId="0" fontId="3" fillId="38" borderId="119" xfId="0" applyFont="1" applyFill="1" applyBorder="1"/>
    <xf numFmtId="0" fontId="3" fillId="38" borderId="112" xfId="0" applyFont="1" applyFill="1" applyBorder="1"/>
    <xf numFmtId="165" fontId="0" fillId="38" borderId="107" xfId="0" applyNumberFormat="1" applyFill="1" applyBorder="1" applyAlignment="1">
      <alignment horizontal="center"/>
    </xf>
    <xf numFmtId="165" fontId="3" fillId="38" borderId="113" xfId="0" applyNumberFormat="1" applyFont="1" applyFill="1" applyBorder="1" applyAlignment="1">
      <alignment horizontal="center"/>
    </xf>
    <xf numFmtId="165" fontId="3" fillId="38" borderId="135" xfId="0" applyNumberFormat="1" applyFont="1" applyFill="1" applyBorder="1" applyAlignment="1">
      <alignment horizontal="center"/>
    </xf>
    <xf numFmtId="165" fontId="5" fillId="38" borderId="138" xfId="0" applyNumberFormat="1" applyFont="1" applyFill="1" applyBorder="1" applyAlignment="1">
      <alignment horizontal="center"/>
    </xf>
    <xf numFmtId="0" fontId="5" fillId="38" borderId="111" xfId="0" applyFont="1" applyFill="1" applyBorder="1" applyAlignment="1">
      <alignment horizontal="center"/>
    </xf>
    <xf numFmtId="0" fontId="0" fillId="0" borderId="32" xfId="0" applyBorder="1" applyAlignment="1" applyProtection="1">
      <alignment horizontal="center"/>
    </xf>
    <xf numFmtId="0" fontId="0" fillId="0" borderId="22" xfId="0" applyBorder="1" applyAlignment="1" applyProtection="1">
      <alignment horizontal="center"/>
    </xf>
    <xf numFmtId="0" fontId="106" fillId="26" borderId="0" xfId="3" applyFont="1" applyFill="1" applyProtection="1"/>
    <xf numFmtId="0" fontId="108" fillId="26" borderId="0" xfId="3" applyFont="1" applyFill="1" applyProtection="1"/>
    <xf numFmtId="0" fontId="107" fillId="26" borderId="0" xfId="1" applyFont="1" applyFill="1" applyAlignment="1" applyProtection="1">
      <alignment wrapText="1"/>
    </xf>
    <xf numFmtId="0" fontId="107" fillId="26" borderId="0" xfId="1" applyFont="1" applyFill="1" applyAlignment="1" applyProtection="1"/>
    <xf numFmtId="0" fontId="109" fillId="26" borderId="0" xfId="3" applyFont="1" applyFill="1" applyAlignment="1" applyProtection="1">
      <alignment horizontal="center"/>
    </xf>
    <xf numFmtId="0" fontId="111" fillId="26" borderId="0" xfId="1" applyFont="1" applyFill="1" applyAlignment="1" applyProtection="1"/>
    <xf numFmtId="0" fontId="1" fillId="26" borderId="0" xfId="3" applyFont="1" applyFill="1" applyAlignment="1" applyProtection="1">
      <alignment horizontal="center"/>
    </xf>
    <xf numFmtId="0" fontId="0" fillId="0" borderId="19" xfId="0" applyFill="1" applyBorder="1" applyProtection="1"/>
    <xf numFmtId="0" fontId="0" fillId="9" borderId="45" xfId="0" applyFill="1" applyBorder="1" applyAlignment="1" applyProtection="1">
      <alignment horizontal="center"/>
    </xf>
    <xf numFmtId="0" fontId="0" fillId="20" borderId="26" xfId="0" applyFill="1" applyBorder="1" applyAlignment="1" applyProtection="1">
      <alignment horizontal="center"/>
    </xf>
    <xf numFmtId="0" fontId="0" fillId="20" borderId="0" xfId="0" applyFill="1" applyBorder="1" applyAlignment="1" applyProtection="1">
      <alignment horizontal="center"/>
    </xf>
    <xf numFmtId="165" fontId="0" fillId="20" borderId="6" xfId="0" applyNumberFormat="1" applyFill="1" applyBorder="1" applyAlignment="1" applyProtection="1">
      <alignment horizontal="center"/>
    </xf>
    <xf numFmtId="165" fontId="0" fillId="20" borderId="0" xfId="0" applyNumberFormat="1" applyFill="1" applyBorder="1" applyAlignment="1" applyProtection="1">
      <alignment horizontal="center"/>
    </xf>
    <xf numFmtId="0" fontId="0" fillId="20" borderId="48" xfId="0" applyFill="1" applyBorder="1" applyAlignment="1" applyProtection="1">
      <alignment horizontal="center"/>
    </xf>
    <xf numFmtId="0" fontId="0" fillId="20" borderId="71" xfId="0" applyFill="1" applyBorder="1" applyAlignment="1" applyProtection="1">
      <alignment horizontal="center"/>
    </xf>
    <xf numFmtId="0" fontId="0" fillId="20" borderId="27" xfId="0" applyFill="1" applyBorder="1" applyAlignment="1" applyProtection="1">
      <alignment horizontal="center"/>
    </xf>
    <xf numFmtId="0" fontId="0" fillId="20" borderId="22" xfId="0" applyFill="1" applyBorder="1" applyAlignment="1" applyProtection="1">
      <alignment horizontal="center"/>
    </xf>
    <xf numFmtId="0" fontId="0" fillId="20" borderId="25" xfId="0" applyFill="1" applyBorder="1" applyAlignment="1" applyProtection="1">
      <alignment horizontal="center"/>
    </xf>
    <xf numFmtId="0" fontId="0" fillId="20" borderId="45" xfId="0" applyFill="1" applyBorder="1" applyAlignment="1" applyProtection="1">
      <alignment horizontal="center"/>
    </xf>
    <xf numFmtId="0" fontId="0" fillId="20" borderId="28" xfId="0" applyFill="1" applyBorder="1" applyAlignment="1" applyProtection="1">
      <alignment horizontal="center"/>
    </xf>
    <xf numFmtId="0" fontId="0" fillId="20" borderId="31" xfId="0" applyFill="1" applyBorder="1" applyAlignment="1" applyProtection="1">
      <alignment horizontal="center"/>
    </xf>
    <xf numFmtId="0" fontId="0" fillId="20" borderId="32" xfId="0" applyFill="1" applyBorder="1" applyAlignment="1" applyProtection="1">
      <alignment horizontal="center"/>
    </xf>
    <xf numFmtId="165" fontId="0" fillId="20" borderId="25" xfId="0" applyNumberFormat="1" applyFill="1" applyBorder="1" applyAlignment="1" applyProtection="1">
      <alignment horizontal="center"/>
    </xf>
    <xf numFmtId="165" fontId="0" fillId="20" borderId="22" xfId="0" applyNumberFormat="1" applyFill="1" applyBorder="1" applyAlignment="1" applyProtection="1">
      <alignment horizontal="center"/>
    </xf>
    <xf numFmtId="165" fontId="0" fillId="20" borderId="31" xfId="0" applyNumberFormat="1" applyFill="1" applyBorder="1" applyAlignment="1" applyProtection="1">
      <alignment horizontal="center"/>
    </xf>
    <xf numFmtId="165" fontId="0" fillId="20" borderId="28" xfId="0" applyNumberFormat="1" applyFill="1" applyBorder="1" applyAlignment="1" applyProtection="1">
      <alignment horizontal="center"/>
    </xf>
    <xf numFmtId="0" fontId="3" fillId="15" borderId="0" xfId="0" applyFont="1" applyFill="1" applyBorder="1" applyAlignment="1" applyProtection="1">
      <alignment horizontal="center"/>
    </xf>
    <xf numFmtId="0" fontId="0" fillId="0" borderId="22" xfId="0" applyBorder="1"/>
    <xf numFmtId="0" fontId="0" fillId="0" borderId="45" xfId="0" applyBorder="1"/>
    <xf numFmtId="0" fontId="0" fillId="0" borderId="71" xfId="0" applyBorder="1"/>
    <xf numFmtId="0" fontId="3" fillId="15" borderId="0" xfId="0" applyFont="1" applyFill="1" applyBorder="1" applyAlignment="1" applyProtection="1">
      <alignment horizontal="left"/>
    </xf>
    <xf numFmtId="0" fontId="3" fillId="0" borderId="22" xfId="0" applyFont="1" applyFill="1" applyBorder="1"/>
    <xf numFmtId="0" fontId="3" fillId="0" borderId="28" xfId="0" applyFont="1" applyFill="1" applyBorder="1"/>
    <xf numFmtId="0" fontId="0" fillId="0" borderId="112" xfId="0" applyFill="1" applyBorder="1" applyProtection="1"/>
    <xf numFmtId="0" fontId="0" fillId="0" borderId="113" xfId="0" applyFill="1" applyBorder="1" applyProtection="1"/>
    <xf numFmtId="0" fontId="0" fillId="0" borderId="143" xfId="0" applyFill="1" applyBorder="1" applyProtection="1"/>
    <xf numFmtId="0" fontId="0" fillId="0" borderId="28" xfId="0" applyFill="1" applyBorder="1" applyProtection="1"/>
    <xf numFmtId="0" fontId="0" fillId="0" borderId="144" xfId="0" applyFill="1" applyBorder="1" applyProtection="1"/>
    <xf numFmtId="1" fontId="0" fillId="0" borderId="28" xfId="0" applyNumberFormat="1" applyFill="1" applyBorder="1" applyAlignment="1" applyProtection="1">
      <alignment horizontal="center"/>
    </xf>
    <xf numFmtId="1" fontId="0" fillId="0" borderId="22" xfId="0" quotePrefix="1" applyNumberFormat="1" applyFill="1" applyBorder="1" applyAlignment="1" applyProtection="1">
      <alignment horizontal="center"/>
    </xf>
    <xf numFmtId="165" fontId="0" fillId="0" borderId="22" xfId="0" quotePrefix="1" applyNumberFormat="1" applyFill="1" applyBorder="1" applyAlignment="1" applyProtection="1">
      <alignment horizontal="center"/>
    </xf>
    <xf numFmtId="1" fontId="0" fillId="0" borderId="28" xfId="0" quotePrefix="1" applyNumberFormat="1" applyFill="1" applyBorder="1" applyAlignment="1" applyProtection="1">
      <alignment horizontal="center"/>
    </xf>
    <xf numFmtId="165" fontId="0" fillId="0" borderId="28" xfId="0" quotePrefix="1" applyNumberFormat="1" applyFill="1" applyBorder="1" applyAlignment="1" applyProtection="1">
      <alignment horizontal="center"/>
    </xf>
    <xf numFmtId="0" fontId="3" fillId="0" borderId="26" xfId="0" applyFont="1" applyFill="1" applyBorder="1" applyProtection="1"/>
    <xf numFmtId="0" fontId="3" fillId="0" borderId="27" xfId="0" applyFont="1" applyFill="1" applyBorder="1" applyProtection="1"/>
    <xf numFmtId="0" fontId="3" fillId="0" borderId="32" xfId="0" applyFont="1" applyFill="1" applyBorder="1" applyProtection="1"/>
    <xf numFmtId="0" fontId="0" fillId="0" borderId="119" xfId="0" applyFill="1" applyBorder="1" applyProtection="1"/>
    <xf numFmtId="0" fontId="0" fillId="0" borderId="137" xfId="0" applyFill="1" applyBorder="1" applyProtection="1"/>
    <xf numFmtId="0" fontId="0" fillId="0" borderId="134" xfId="0" applyFill="1" applyBorder="1"/>
    <xf numFmtId="0" fontId="0" fillId="0" borderId="119" xfId="0" applyFill="1" applyBorder="1" applyAlignment="1">
      <alignment horizontal="center"/>
    </xf>
    <xf numFmtId="0" fontId="0" fillId="0" borderId="137" xfId="0" applyFill="1" applyBorder="1" applyAlignment="1">
      <alignment horizontal="center"/>
    </xf>
    <xf numFmtId="0" fontId="0" fillId="0" borderId="139" xfId="0" applyFill="1" applyBorder="1" applyAlignment="1">
      <alignment horizontal="center"/>
    </xf>
    <xf numFmtId="0" fontId="0" fillId="0" borderId="134" xfId="0" applyFill="1" applyBorder="1" applyAlignment="1">
      <alignment horizontal="center"/>
    </xf>
    <xf numFmtId="0" fontId="0" fillId="0" borderId="114" xfId="0" applyFill="1" applyBorder="1" applyProtection="1"/>
    <xf numFmtId="0" fontId="0" fillId="0" borderId="107" xfId="0" applyFill="1" applyBorder="1" applyProtection="1"/>
    <xf numFmtId="0" fontId="0" fillId="0" borderId="135" xfId="0" applyFill="1" applyBorder="1"/>
    <xf numFmtId="0" fontId="0" fillId="0" borderId="114" xfId="0" applyFill="1" applyBorder="1" applyAlignment="1">
      <alignment horizontal="center"/>
    </xf>
    <xf numFmtId="0" fontId="0" fillId="0" borderId="107" xfId="0" applyFill="1" applyBorder="1" applyAlignment="1">
      <alignment horizontal="center"/>
    </xf>
    <xf numFmtId="0" fontId="0" fillId="0" borderId="140" xfId="0" applyFill="1" applyBorder="1" applyAlignment="1">
      <alignment horizontal="center"/>
    </xf>
    <xf numFmtId="0" fontId="0" fillId="0" borderId="135" xfId="0" applyFill="1" applyBorder="1" applyAlignment="1">
      <alignment horizontal="center"/>
    </xf>
    <xf numFmtId="0" fontId="0" fillId="0" borderId="134" xfId="0" applyFill="1" applyBorder="1" applyProtection="1"/>
    <xf numFmtId="0" fontId="0" fillId="0" borderId="135" xfId="0" applyFill="1" applyBorder="1" applyProtection="1"/>
    <xf numFmtId="0" fontId="0" fillId="0" borderId="145" xfId="0" applyFill="1" applyBorder="1" applyAlignment="1" applyProtection="1">
      <alignment horizontal="center"/>
    </xf>
    <xf numFmtId="0" fontId="0" fillId="0" borderId="139" xfId="0" applyFill="1" applyBorder="1" applyAlignment="1" applyProtection="1">
      <alignment horizontal="center"/>
    </xf>
    <xf numFmtId="0" fontId="0" fillId="0" borderId="146" xfId="0" applyFill="1" applyBorder="1" applyAlignment="1" applyProtection="1">
      <alignment horizontal="center"/>
    </xf>
    <xf numFmtId="0" fontId="0" fillId="0" borderId="137" xfId="0" applyFill="1" applyBorder="1" applyAlignment="1" applyProtection="1">
      <alignment horizontal="center"/>
    </xf>
    <xf numFmtId="165" fontId="0" fillId="0" borderId="139" xfId="0" applyNumberFormat="1" applyFill="1" applyBorder="1" applyAlignment="1" applyProtection="1">
      <alignment horizontal="center"/>
    </xf>
    <xf numFmtId="165" fontId="0" fillId="0" borderId="137" xfId="0" applyNumberFormat="1" applyFill="1" applyBorder="1" applyAlignment="1" applyProtection="1">
      <alignment horizontal="center"/>
    </xf>
    <xf numFmtId="165" fontId="0" fillId="0" borderId="141" xfId="0" applyNumberFormat="1" applyFill="1" applyBorder="1" applyAlignment="1" applyProtection="1">
      <alignment horizontal="center"/>
    </xf>
    <xf numFmtId="165" fontId="0" fillId="0" borderId="134" xfId="0" applyNumberFormat="1" applyFill="1" applyBorder="1" applyAlignment="1" applyProtection="1">
      <alignment horizontal="center"/>
    </xf>
    <xf numFmtId="0" fontId="0" fillId="0" borderId="122" xfId="0" applyFill="1" applyBorder="1" applyAlignment="1" applyProtection="1">
      <alignment horizontal="center"/>
    </xf>
    <xf numFmtId="0" fontId="0" fillId="0" borderId="140" xfId="0" applyFill="1" applyBorder="1" applyAlignment="1" applyProtection="1">
      <alignment horizontal="center"/>
    </xf>
    <xf numFmtId="0" fontId="0" fillId="0" borderId="147" xfId="0" applyFill="1" applyBorder="1" applyAlignment="1" applyProtection="1">
      <alignment horizontal="center"/>
    </xf>
    <xf numFmtId="0" fontId="0" fillId="0" borderId="107" xfId="0" applyFill="1" applyBorder="1" applyAlignment="1" applyProtection="1">
      <alignment horizontal="center"/>
    </xf>
    <xf numFmtId="165" fontId="0" fillId="0" borderId="140" xfId="0" applyNumberFormat="1" applyFill="1" applyBorder="1" applyAlignment="1" applyProtection="1">
      <alignment horizontal="center"/>
    </xf>
    <xf numFmtId="165" fontId="0" fillId="0" borderId="107" xfId="0" applyNumberFormat="1" applyFill="1" applyBorder="1" applyAlignment="1" applyProtection="1">
      <alignment horizontal="center"/>
    </xf>
    <xf numFmtId="165" fontId="0" fillId="0" borderId="142" xfId="0" applyNumberFormat="1" applyFill="1" applyBorder="1" applyAlignment="1" applyProtection="1">
      <alignment horizontal="center"/>
    </xf>
    <xf numFmtId="165" fontId="0" fillId="0" borderId="135" xfId="0" applyNumberFormat="1" applyFill="1" applyBorder="1" applyAlignment="1" applyProtection="1">
      <alignment horizontal="center"/>
    </xf>
    <xf numFmtId="0" fontId="0" fillId="0" borderId="32" xfId="0" applyFill="1" applyBorder="1" applyProtection="1"/>
    <xf numFmtId="0" fontId="0" fillId="0" borderId="27" xfId="0" applyFill="1" applyBorder="1" applyProtection="1"/>
    <xf numFmtId="165" fontId="0" fillId="0" borderId="29" xfId="0" applyNumberFormat="1" applyFill="1" applyBorder="1" applyAlignment="1" applyProtection="1">
      <alignment horizontal="center"/>
    </xf>
    <xf numFmtId="165" fontId="0" fillId="0" borderId="71" xfId="0" applyNumberFormat="1" applyFill="1" applyBorder="1" applyAlignment="1" applyProtection="1">
      <alignment horizontal="center"/>
    </xf>
    <xf numFmtId="3" fontId="0" fillId="20" borderId="0" xfId="0" applyNumberFormat="1" applyFill="1" applyProtection="1"/>
    <xf numFmtId="3" fontId="0" fillId="20" borderId="6" xfId="0" applyNumberFormat="1" applyFill="1" applyBorder="1" applyProtection="1"/>
    <xf numFmtId="3" fontId="0" fillId="20" borderId="0" xfId="0" applyNumberFormat="1" applyFill="1" applyBorder="1" applyProtection="1"/>
    <xf numFmtId="3" fontId="0" fillId="20" borderId="7" xfId="0" applyNumberFormat="1" applyFill="1" applyBorder="1" applyProtection="1"/>
    <xf numFmtId="3" fontId="0" fillId="0" borderId="7" xfId="0" applyNumberFormat="1" applyFill="1" applyBorder="1" applyAlignment="1" applyProtection="1">
      <alignment horizontal="center"/>
    </xf>
    <xf numFmtId="0" fontId="0" fillId="0" borderId="20" xfId="0" applyFill="1" applyBorder="1" applyProtection="1"/>
    <xf numFmtId="3" fontId="0" fillId="0" borderId="28" xfId="0" applyNumberFormat="1" applyFill="1" applyBorder="1" applyAlignment="1" applyProtection="1">
      <alignment horizontal="center"/>
    </xf>
    <xf numFmtId="3" fontId="0" fillId="0" borderId="31" xfId="0" applyNumberFormat="1" applyFill="1" applyBorder="1" applyAlignment="1" applyProtection="1">
      <alignment horizontal="center"/>
    </xf>
    <xf numFmtId="3" fontId="0" fillId="0" borderId="29" xfId="0" applyNumberFormat="1" applyFill="1" applyBorder="1" applyAlignment="1" applyProtection="1">
      <alignment horizontal="center"/>
    </xf>
    <xf numFmtId="0" fontId="0" fillId="0" borderId="26" xfId="0" applyFill="1" applyBorder="1" applyProtection="1"/>
    <xf numFmtId="0" fontId="0" fillId="0" borderId="40" xfId="0" applyFill="1" applyBorder="1" applyAlignment="1" applyProtection="1">
      <alignment horizontal="center"/>
    </xf>
    <xf numFmtId="0" fontId="0" fillId="0" borderId="91" xfId="0" applyFill="1" applyBorder="1" applyAlignment="1" applyProtection="1">
      <alignment horizontal="center"/>
    </xf>
    <xf numFmtId="3" fontId="0" fillId="0" borderId="39" xfId="0" applyNumberFormat="1" applyFill="1" applyBorder="1" applyAlignment="1" applyProtection="1">
      <alignment horizontal="center"/>
    </xf>
    <xf numFmtId="3" fontId="0" fillId="0" borderId="40" xfId="0" applyNumberFormat="1" applyFill="1" applyBorder="1" applyAlignment="1" applyProtection="1">
      <alignment horizontal="center"/>
    </xf>
    <xf numFmtId="3" fontId="0" fillId="0" borderId="41" xfId="0" applyNumberFormat="1" applyFill="1" applyBorder="1" applyAlignment="1" applyProtection="1">
      <alignment horizontal="center"/>
    </xf>
    <xf numFmtId="0" fontId="0" fillId="0" borderId="34" xfId="0" applyFill="1" applyBorder="1" applyProtection="1"/>
    <xf numFmtId="0" fontId="0" fillId="0" borderId="35" xfId="0" applyFill="1" applyBorder="1" applyProtection="1"/>
    <xf numFmtId="3" fontId="0" fillId="0" borderId="36" xfId="0" applyNumberFormat="1" applyFill="1" applyBorder="1" applyAlignment="1" applyProtection="1">
      <alignment horizontal="center"/>
    </xf>
    <xf numFmtId="3" fontId="0" fillId="0" borderId="35" xfId="0" applyNumberFormat="1" applyFill="1" applyBorder="1" applyAlignment="1" applyProtection="1">
      <alignment horizontal="center"/>
    </xf>
    <xf numFmtId="3" fontId="0" fillId="0" borderId="37" xfId="0" applyNumberFormat="1" applyFill="1" applyBorder="1" applyAlignment="1" applyProtection="1">
      <alignment horizontal="center"/>
    </xf>
    <xf numFmtId="3" fontId="0" fillId="0" borderId="23" xfId="0" applyNumberFormat="1" applyFill="1" applyBorder="1" applyAlignment="1" applyProtection="1">
      <alignment horizontal="center"/>
    </xf>
    <xf numFmtId="1" fontId="63" fillId="26" borderId="1" xfId="0" applyNumberFormat="1" applyFont="1" applyFill="1" applyBorder="1"/>
    <xf numFmtId="1" fontId="63" fillId="26" borderId="1" xfId="0" applyNumberFormat="1" applyFont="1" applyFill="1" applyBorder="1" applyAlignment="1">
      <alignment horizontal="right"/>
    </xf>
    <xf numFmtId="0" fontId="3" fillId="0" borderId="0" xfId="0" applyFont="1" applyBorder="1"/>
    <xf numFmtId="0" fontId="0" fillId="0" borderId="0" xfId="0" applyFont="1" applyFill="1" applyBorder="1"/>
    <xf numFmtId="0" fontId="3" fillId="0" borderId="9" xfId="0" applyFont="1" applyBorder="1"/>
    <xf numFmtId="0" fontId="3" fillId="2" borderId="0" xfId="0" applyFont="1" applyFill="1" applyBorder="1"/>
    <xf numFmtId="0" fontId="67" fillId="2" borderId="0" xfId="0" applyFont="1" applyFill="1" applyAlignment="1">
      <alignment horizontal="right"/>
    </xf>
    <xf numFmtId="1" fontId="112" fillId="26" borderId="1" xfId="0" applyNumberFormat="1" applyFont="1" applyFill="1" applyBorder="1" applyAlignment="1">
      <alignment horizontal="right"/>
    </xf>
    <xf numFmtId="0" fontId="3" fillId="2" borderId="0" xfId="0" applyFont="1" applyFill="1" applyBorder="1" applyAlignment="1">
      <alignment horizontal="right"/>
    </xf>
    <xf numFmtId="0" fontId="31" fillId="28" borderId="0" xfId="0" applyFont="1" applyFill="1"/>
    <xf numFmtId="0" fontId="0" fillId="2" borderId="48" xfId="0" applyFill="1" applyBorder="1" applyAlignment="1">
      <alignment horizontal="right" vertical="center"/>
    </xf>
    <xf numFmtId="0" fontId="0" fillId="33" borderId="0" xfId="0" applyFill="1" applyProtection="1">
      <protection locked="0"/>
    </xf>
    <xf numFmtId="0" fontId="3" fillId="2" borderId="26" xfId="0" applyFont="1" applyFill="1" applyBorder="1" applyAlignment="1">
      <alignment vertical="center"/>
    </xf>
    <xf numFmtId="0" fontId="0" fillId="0" borderId="7" xfId="0" applyBorder="1" applyAlignment="1">
      <alignment vertical="center" wrapText="1"/>
    </xf>
    <xf numFmtId="0" fontId="0" fillId="0" borderId="0" xfId="0" applyFont="1" applyFill="1" applyBorder="1" applyAlignment="1">
      <alignment horizontal="center" vertical="center" wrapText="1"/>
    </xf>
    <xf numFmtId="0" fontId="3" fillId="2" borderId="26" xfId="0" applyFont="1" applyFill="1" applyBorder="1"/>
    <xf numFmtId="0" fontId="3" fillId="2" borderId="0" xfId="0" applyFont="1" applyFill="1" applyBorder="1" applyAlignment="1">
      <alignment horizontal="center" vertical="center"/>
    </xf>
    <xf numFmtId="1" fontId="67" fillId="6" borderId="1" xfId="0" applyNumberFormat="1" applyFont="1" applyFill="1" applyBorder="1" applyAlignment="1">
      <alignment horizontal="right"/>
    </xf>
    <xf numFmtId="0" fontId="3" fillId="2" borderId="0" xfId="0" quotePrefix="1" applyFont="1" applyFill="1" applyBorder="1" applyAlignment="1">
      <alignment horizontal="center" vertical="center"/>
    </xf>
    <xf numFmtId="1" fontId="24" fillId="6" borderId="0" xfId="0" applyNumberFormat="1" applyFont="1" applyFill="1" applyBorder="1" applyAlignment="1">
      <alignment horizontal="right"/>
    </xf>
    <xf numFmtId="1" fontId="24" fillId="6" borderId="48" xfId="0" applyNumberFormat="1" applyFont="1" applyFill="1" applyBorder="1" applyAlignment="1">
      <alignment horizontal="right"/>
    </xf>
    <xf numFmtId="0" fontId="5" fillId="2" borderId="4" xfId="0" applyFont="1" applyFill="1" applyBorder="1"/>
    <xf numFmtId="0" fontId="113" fillId="2" borderId="0" xfId="0" applyFont="1" applyFill="1" applyBorder="1" applyAlignment="1">
      <alignment vertical="center"/>
    </xf>
    <xf numFmtId="1" fontId="0" fillId="6" borderId="2" xfId="0" applyNumberFormat="1" applyFill="1" applyBorder="1" applyAlignment="1">
      <alignment horizontal="right" vertical="center"/>
    </xf>
    <xf numFmtId="1" fontId="0" fillId="6" borderId="11" xfId="0" applyNumberFormat="1" applyFill="1" applyBorder="1" applyAlignment="1">
      <alignment horizontal="right" vertical="center"/>
    </xf>
    <xf numFmtId="1" fontId="0" fillId="6" borderId="53" xfId="0" applyNumberFormat="1" applyFill="1" applyBorder="1" applyAlignment="1">
      <alignment horizontal="right" vertical="center"/>
    </xf>
    <xf numFmtId="1" fontId="0" fillId="2" borderId="136" xfId="0" applyNumberFormat="1" applyFill="1" applyBorder="1" applyAlignment="1">
      <alignment horizontal="right"/>
    </xf>
    <xf numFmtId="0" fontId="5" fillId="2" borderId="136" xfId="0" applyFont="1" applyFill="1" applyBorder="1" applyAlignment="1">
      <alignment horizontal="right"/>
    </xf>
    <xf numFmtId="0" fontId="30" fillId="2" borderId="0" xfId="0" applyFont="1" applyFill="1" applyBorder="1" applyAlignment="1"/>
    <xf numFmtId="0" fontId="30" fillId="2" borderId="48" xfId="0" applyFont="1" applyFill="1" applyBorder="1" applyAlignment="1"/>
    <xf numFmtId="0" fontId="5" fillId="2" borderId="72" xfId="0" applyFont="1" applyFill="1" applyBorder="1"/>
    <xf numFmtId="1" fontId="5" fillId="6" borderId="2" xfId="0" applyNumberFormat="1" applyFont="1" applyFill="1" applyBorder="1" applyAlignment="1">
      <alignment horizontal="right" vertical="center"/>
    </xf>
    <xf numFmtId="1" fontId="5" fillId="6" borderId="53" xfId="0" applyNumberFormat="1" applyFont="1" applyFill="1" applyBorder="1" applyAlignment="1">
      <alignment horizontal="right" vertical="center"/>
    </xf>
    <xf numFmtId="0" fontId="19" fillId="2" borderId="0" xfId="0" applyFont="1" applyFill="1" applyBorder="1" applyAlignment="1">
      <alignment vertical="center"/>
    </xf>
    <xf numFmtId="1" fontId="5" fillId="6" borderId="11" xfId="0" applyNumberFormat="1" applyFont="1" applyFill="1" applyBorder="1" applyAlignment="1">
      <alignment horizontal="right" vertical="center"/>
    </xf>
    <xf numFmtId="0" fontId="3" fillId="28" borderId="4" xfId="0" applyFont="1" applyFill="1" applyBorder="1" applyAlignment="1">
      <alignment horizontal="center"/>
    </xf>
    <xf numFmtId="0" fontId="3" fillId="28" borderId="5" xfId="0" applyFont="1" applyFill="1" applyBorder="1" applyAlignment="1">
      <alignment horizontal="center"/>
    </xf>
    <xf numFmtId="0" fontId="5" fillId="39" borderId="32" xfId="0" applyFont="1" applyFill="1" applyBorder="1" applyAlignment="1">
      <alignment horizontal="center"/>
    </xf>
    <xf numFmtId="0" fontId="5" fillId="39" borderId="27" xfId="0" applyFont="1" applyFill="1" applyBorder="1" applyAlignment="1">
      <alignment horizontal="center"/>
    </xf>
    <xf numFmtId="168" fontId="0" fillId="39" borderId="0" xfId="0" applyNumberFormat="1" applyFill="1" applyBorder="1" applyAlignment="1">
      <alignment horizontal="right" indent="1"/>
    </xf>
    <xf numFmtId="0" fontId="3" fillId="39" borderId="26" xfId="0" applyFont="1" applyFill="1" applyBorder="1" applyAlignment="1">
      <alignment horizontal="right"/>
    </xf>
    <xf numFmtId="0" fontId="0" fillId="28" borderId="0" xfId="0" applyFill="1" applyAlignment="1">
      <alignment horizontal="center"/>
    </xf>
    <xf numFmtId="4" fontId="0" fillId="28" borderId="0" xfId="0" applyNumberFormat="1" applyFill="1" applyAlignment="1">
      <alignment horizontal="center"/>
    </xf>
    <xf numFmtId="0" fontId="6" fillId="2" borderId="0" xfId="0" applyFont="1" applyFill="1" applyAlignment="1">
      <alignment horizontal="center" vertical="center"/>
    </xf>
    <xf numFmtId="0" fontId="3" fillId="28" borderId="0" xfId="0" applyFont="1" applyFill="1" applyBorder="1" applyAlignment="1">
      <alignment horizontal="center"/>
    </xf>
    <xf numFmtId="0" fontId="3" fillId="28" borderId="7" xfId="0" applyFont="1" applyFill="1" applyBorder="1" applyAlignment="1">
      <alignment horizontal="center"/>
    </xf>
    <xf numFmtId="0" fontId="3" fillId="28" borderId="6" xfId="0" applyFont="1" applyFill="1" applyBorder="1" applyAlignment="1">
      <alignment horizontal="left" indent="2"/>
    </xf>
    <xf numFmtId="0" fontId="3" fillId="28" borderId="8" xfId="0" applyFont="1" applyFill="1" applyBorder="1" applyAlignment="1">
      <alignment horizontal="left" indent="2"/>
    </xf>
    <xf numFmtId="0" fontId="3" fillId="28" borderId="3" xfId="0" applyFont="1" applyFill="1" applyBorder="1" applyAlignment="1">
      <alignment horizontal="left" indent="2"/>
    </xf>
    <xf numFmtId="2" fontId="3" fillId="39" borderId="26" xfId="0" applyNumberFormat="1" applyFont="1" applyFill="1" applyBorder="1" applyAlignment="1">
      <alignment horizontal="right"/>
    </xf>
    <xf numFmtId="0" fontId="48" fillId="26" borderId="0" xfId="3" applyFont="1" applyFill="1" applyAlignment="1" applyProtection="1">
      <alignment horizontal="left"/>
    </xf>
    <xf numFmtId="0" fontId="107" fillId="26" borderId="0" xfId="1" applyFont="1" applyFill="1" applyAlignment="1" applyProtection="1">
      <alignment horizontal="left" wrapText="1"/>
    </xf>
    <xf numFmtId="0" fontId="108" fillId="26" borderId="0" xfId="3" applyFont="1" applyFill="1" applyAlignment="1" applyProtection="1">
      <alignment horizontal="left" wrapText="1"/>
    </xf>
    <xf numFmtId="0" fontId="2" fillId="26" borderId="0" xfId="3" applyFont="1" applyFill="1" applyAlignment="1" applyProtection="1">
      <alignment horizontal="center" vertical="top" wrapText="1"/>
    </xf>
    <xf numFmtId="0" fontId="110" fillId="26" borderId="125" xfId="3" applyFont="1" applyFill="1" applyBorder="1" applyAlignment="1" applyProtection="1">
      <alignment horizontal="center" vertical="center"/>
    </xf>
    <xf numFmtId="0" fontId="110" fillId="26" borderId="126" xfId="3" applyFont="1" applyFill="1" applyBorder="1" applyAlignment="1" applyProtection="1">
      <alignment horizontal="center" vertical="center"/>
    </xf>
    <xf numFmtId="0" fontId="110" fillId="26" borderId="127" xfId="3" applyFont="1" applyFill="1" applyBorder="1" applyAlignment="1" applyProtection="1">
      <alignment horizontal="center" vertical="center"/>
    </xf>
    <xf numFmtId="0" fontId="46" fillId="26" borderId="128" xfId="3" applyFont="1" applyFill="1" applyBorder="1" applyAlignment="1" applyProtection="1">
      <alignment horizontal="center" vertical="center"/>
    </xf>
    <xf numFmtId="0" fontId="46" fillId="26" borderId="0" xfId="3" applyFont="1" applyFill="1" applyBorder="1" applyAlignment="1" applyProtection="1">
      <alignment horizontal="center" vertical="center"/>
    </xf>
    <xf numFmtId="0" fontId="46" fillId="26" borderId="129" xfId="3" applyFont="1" applyFill="1" applyBorder="1" applyAlignment="1" applyProtection="1">
      <alignment horizontal="center" vertical="center"/>
    </xf>
    <xf numFmtId="0" fontId="48" fillId="26" borderId="128" xfId="3" applyFont="1" applyFill="1" applyBorder="1" applyAlignment="1" applyProtection="1">
      <alignment horizontal="center" vertical="center"/>
    </xf>
    <xf numFmtId="0" fontId="48" fillId="26" borderId="0" xfId="3" applyFont="1" applyFill="1" applyBorder="1" applyAlignment="1" applyProtection="1">
      <alignment horizontal="center" vertical="center"/>
    </xf>
    <xf numFmtId="0" fontId="48" fillId="26" borderId="129" xfId="3" applyFont="1" applyFill="1" applyBorder="1" applyAlignment="1" applyProtection="1">
      <alignment horizontal="center" vertical="center"/>
    </xf>
    <xf numFmtId="0" fontId="48" fillId="26" borderId="130" xfId="3" applyFont="1" applyFill="1" applyBorder="1" applyAlignment="1" applyProtection="1">
      <alignment horizontal="center" vertical="center"/>
    </xf>
    <xf numFmtId="0" fontId="48" fillId="26" borderId="131" xfId="3" applyFont="1" applyFill="1" applyBorder="1" applyAlignment="1" applyProtection="1">
      <alignment horizontal="center" vertical="center"/>
    </xf>
    <xf numFmtId="0" fontId="48" fillId="26" borderId="132" xfId="3" applyFont="1" applyFill="1" applyBorder="1" applyAlignment="1" applyProtection="1">
      <alignment horizontal="center" vertical="center"/>
    </xf>
    <xf numFmtId="0" fontId="50" fillId="26" borderId="0" xfId="3" applyFont="1" applyFill="1" applyAlignment="1" applyProtection="1">
      <alignment horizontal="left" vertical="center"/>
    </xf>
    <xf numFmtId="0" fontId="2" fillId="26" borderId="0" xfId="3" applyFill="1" applyAlignment="1" applyProtection="1">
      <alignment horizontal="left" vertical="center"/>
    </xf>
    <xf numFmtId="0" fontId="107" fillId="26" borderId="0" xfId="1" applyFont="1" applyFill="1" applyAlignment="1" applyProtection="1">
      <alignment horizontal="left" vertical="center" wrapText="1"/>
    </xf>
    <xf numFmtId="0" fontId="3" fillId="2" borderId="0" xfId="0" applyFont="1" applyFill="1" applyAlignment="1">
      <alignment horizontal="left" vertical="center" wrapText="1"/>
    </xf>
    <xf numFmtId="0" fontId="0" fillId="2" borderId="0" xfId="0" applyFill="1" applyAlignment="1">
      <alignment horizontal="left" vertical="center" wrapText="1"/>
    </xf>
    <xf numFmtId="0" fontId="3" fillId="2" borderId="7" xfId="0" applyFont="1" applyFill="1" applyBorder="1" applyAlignment="1">
      <alignment horizontal="left" vertical="center" wrapText="1"/>
    </xf>
    <xf numFmtId="0" fontId="3" fillId="22" borderId="0" xfId="0" applyFont="1" applyFill="1" applyAlignment="1">
      <alignment horizontal="center" vertical="center"/>
    </xf>
    <xf numFmtId="0" fontId="65" fillId="2" borderId="6" xfId="0" applyFont="1" applyFill="1" applyBorder="1" applyAlignment="1">
      <alignment horizontal="left" vertical="center" wrapText="1"/>
    </xf>
    <xf numFmtId="0" fontId="65" fillId="2" borderId="7" xfId="0" applyFont="1" applyFill="1" applyBorder="1" applyAlignment="1">
      <alignment horizontal="left" vertical="center" wrapText="1"/>
    </xf>
    <xf numFmtId="0" fontId="0" fillId="19" borderId="2" xfId="0" applyFill="1" applyBorder="1" applyAlignment="1" applyProtection="1">
      <alignment horizontal="center" vertical="center"/>
      <protection locked="0"/>
    </xf>
    <xf numFmtId="0" fontId="0" fillId="19" borderId="12" xfId="0" applyFill="1" applyBorder="1" applyAlignment="1" applyProtection="1">
      <alignment horizontal="center" vertical="center"/>
      <protection locked="0"/>
    </xf>
    <xf numFmtId="0" fontId="6" fillId="2" borderId="0" xfId="0" applyFont="1" applyFill="1" applyAlignment="1">
      <alignment horizontal="left" vertical="center"/>
    </xf>
    <xf numFmtId="3" fontId="0" fillId="5" borderId="1" xfId="0" applyNumberFormat="1" applyFill="1" applyBorder="1" applyAlignment="1" applyProtection="1">
      <alignment horizontal="center" vertical="center"/>
      <protection locked="0"/>
    </xf>
    <xf numFmtId="0" fontId="81" fillId="2" borderId="3" xfId="0" applyFont="1" applyFill="1" applyBorder="1" applyAlignment="1">
      <alignment horizontal="center" vertical="center" wrapText="1"/>
    </xf>
    <xf numFmtId="0" fontId="81" fillId="2" borderId="5" xfId="0" applyFont="1" applyFill="1" applyBorder="1" applyAlignment="1">
      <alignment horizontal="center" vertical="center" wrapText="1"/>
    </xf>
    <xf numFmtId="0" fontId="81" fillId="2" borderId="6" xfId="0" applyFont="1" applyFill="1" applyBorder="1" applyAlignment="1">
      <alignment horizontal="center" vertical="center" wrapText="1"/>
    </xf>
    <xf numFmtId="0" fontId="81" fillId="2" borderId="7" xfId="0" applyFont="1" applyFill="1" applyBorder="1" applyAlignment="1">
      <alignment horizontal="center" vertical="center" wrapText="1"/>
    </xf>
    <xf numFmtId="0" fontId="81" fillId="2" borderId="8" xfId="0" applyFont="1" applyFill="1" applyBorder="1" applyAlignment="1">
      <alignment horizontal="center" vertical="center" wrapText="1"/>
    </xf>
    <xf numFmtId="0" fontId="81" fillId="2" borderId="10" xfId="0" applyFont="1" applyFill="1" applyBorder="1" applyAlignment="1">
      <alignment horizontal="center" vertical="center" wrapText="1"/>
    </xf>
    <xf numFmtId="0" fontId="3" fillId="2" borderId="9" xfId="0" applyFont="1" applyFill="1" applyBorder="1" applyAlignment="1">
      <alignment horizontal="center" vertical="center"/>
    </xf>
    <xf numFmtId="0" fontId="3" fillId="2" borderId="0" xfId="0" applyFont="1" applyFill="1" applyAlignment="1">
      <alignment horizontal="right" vertical="center" wrapText="1"/>
    </xf>
    <xf numFmtId="0" fontId="11" fillId="2" borderId="0" xfId="0" applyFont="1" applyFill="1" applyAlignment="1">
      <alignment horizontal="right" vertical="center" wrapText="1"/>
    </xf>
    <xf numFmtId="0" fontId="0" fillId="2" borderId="9" xfId="0" applyFill="1" applyBorder="1" applyAlignment="1">
      <alignment horizontal="center" vertical="center"/>
    </xf>
    <xf numFmtId="0" fontId="31" fillId="2" borderId="0" xfId="0" applyFont="1" applyFill="1" applyAlignment="1">
      <alignment horizontal="left" vertical="center" wrapText="1" indent="1"/>
    </xf>
    <xf numFmtId="0" fontId="31" fillId="2" borderId="0" xfId="0" applyFont="1" applyFill="1" applyAlignment="1">
      <alignment horizontal="left" vertical="top" wrapText="1" indent="1"/>
    </xf>
    <xf numFmtId="0" fontId="0" fillId="2" borderId="0" xfId="0" applyFill="1" applyAlignment="1">
      <alignment vertical="center" wrapText="1"/>
    </xf>
    <xf numFmtId="0" fontId="0" fillId="2" borderId="0" xfId="0" applyFill="1" applyAlignment="1">
      <alignment horizontal="right" vertical="center"/>
    </xf>
    <xf numFmtId="0" fontId="3" fillId="2" borderId="0" xfId="0" applyFont="1" applyFill="1" applyBorder="1" applyAlignment="1">
      <alignment horizontal="left" vertical="center" wrapText="1"/>
    </xf>
    <xf numFmtId="0" fontId="3" fillId="20" borderId="0" xfId="0" applyFont="1" applyFill="1" applyAlignment="1">
      <alignment horizontal="center" vertical="center"/>
    </xf>
    <xf numFmtId="0" fontId="3" fillId="5" borderId="8" xfId="0" applyFont="1" applyFill="1" applyBorder="1" applyAlignment="1" applyProtection="1">
      <alignment horizontal="left" vertical="center"/>
      <protection locked="0"/>
    </xf>
    <xf numFmtId="0" fontId="0" fillId="5" borderId="9" xfId="0" applyFill="1" applyBorder="1" applyAlignment="1" applyProtection="1">
      <alignment horizontal="left" vertical="center"/>
      <protection locked="0"/>
    </xf>
    <xf numFmtId="0" fontId="0" fillId="5" borderId="10" xfId="0" applyFill="1" applyBorder="1" applyAlignment="1" applyProtection="1">
      <alignment horizontal="left" vertical="center"/>
      <protection locked="0"/>
    </xf>
    <xf numFmtId="0" fontId="3" fillId="5" borderId="2" xfId="0" applyFont="1" applyFill="1" applyBorder="1" applyAlignment="1" applyProtection="1">
      <alignment horizontal="left" vertical="center"/>
      <protection locked="0"/>
    </xf>
    <xf numFmtId="0" fontId="0" fillId="5" borderId="11" xfId="0" applyFill="1" applyBorder="1" applyAlignment="1" applyProtection="1">
      <alignment horizontal="left" vertical="center"/>
      <protection locked="0"/>
    </xf>
    <xf numFmtId="0" fontId="0" fillId="5" borderId="12" xfId="0" applyFill="1" applyBorder="1" applyAlignment="1" applyProtection="1">
      <alignment horizontal="left" vertical="center"/>
      <protection locked="0"/>
    </xf>
    <xf numFmtId="0" fontId="3" fillId="5" borderId="2"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3" fillId="5" borderId="8" xfId="0" applyFont="1"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0" fillId="5" borderId="10" xfId="0" applyFill="1" applyBorder="1" applyAlignment="1" applyProtection="1">
      <alignment horizontal="center" vertical="center"/>
      <protection locked="0"/>
    </xf>
    <xf numFmtId="0" fontId="39" fillId="2" borderId="0" xfId="0" applyFont="1" applyFill="1" applyAlignment="1">
      <alignment horizontal="center" vertical="center" wrapText="1"/>
    </xf>
    <xf numFmtId="0" fontId="94" fillId="2" borderId="0" xfId="0" applyFont="1" applyFill="1" applyAlignment="1">
      <alignment horizontal="left" vertical="center" wrapText="1"/>
    </xf>
    <xf numFmtId="0" fontId="42" fillId="2" borderId="26" xfId="0" applyFont="1" applyFill="1" applyBorder="1" applyAlignment="1">
      <alignment horizontal="center"/>
    </xf>
    <xf numFmtId="0" fontId="42" fillId="2" borderId="48" xfId="0" applyFont="1" applyFill="1" applyBorder="1" applyAlignment="1">
      <alignment horizontal="center"/>
    </xf>
    <xf numFmtId="0" fontId="16" fillId="2" borderId="0" xfId="0" applyFont="1" applyFill="1" applyAlignment="1">
      <alignment horizontal="center" vertical="center"/>
    </xf>
    <xf numFmtId="0" fontId="0" fillId="2" borderId="0" xfId="0" applyFill="1" applyBorder="1" applyAlignment="1">
      <alignment horizontal="center" vertical="center"/>
    </xf>
    <xf numFmtId="0" fontId="3" fillId="2" borderId="6" xfId="0" applyFont="1" applyFill="1" applyBorder="1" applyAlignment="1">
      <alignment horizontal="left"/>
    </xf>
    <xf numFmtId="0" fontId="3" fillId="2" borderId="0" xfId="0" applyFont="1" applyFill="1" applyBorder="1" applyAlignment="1">
      <alignment horizontal="left"/>
    </xf>
    <xf numFmtId="0" fontId="3" fillId="2" borderId="7" xfId="0" applyFont="1" applyFill="1" applyBorder="1" applyAlignment="1">
      <alignment horizontal="left"/>
    </xf>
    <xf numFmtId="0" fontId="3" fillId="2" borderId="6"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7" xfId="0" applyFont="1" applyFill="1" applyBorder="1" applyAlignment="1">
      <alignment horizontal="left" vertical="top" wrapText="1"/>
    </xf>
    <xf numFmtId="0" fontId="12" fillId="38" borderId="26" xfId="0" applyFont="1" applyFill="1" applyBorder="1" applyProtection="1"/>
    <xf numFmtId="0" fontId="12" fillId="38" borderId="0" xfId="0" applyFont="1" applyFill="1" applyBorder="1" applyProtection="1"/>
    <xf numFmtId="0" fontId="12" fillId="38" borderId="48" xfId="0" applyFont="1" applyFill="1" applyBorder="1" applyProtection="1"/>
    <xf numFmtId="0" fontId="0" fillId="38" borderId="0" xfId="0" applyFill="1" applyBorder="1" applyProtection="1"/>
    <xf numFmtId="0" fontId="0" fillId="38" borderId="48" xfId="0" applyFill="1" applyBorder="1" applyProtection="1"/>
    <xf numFmtId="0" fontId="23" fillId="26" borderId="0" xfId="0" applyFont="1" applyFill="1" applyAlignment="1" applyProtection="1">
      <alignment horizontal="center" vertical="center"/>
    </xf>
    <xf numFmtId="0" fontId="16" fillId="39" borderId="8" xfId="0" applyFont="1" applyFill="1" applyBorder="1" applyAlignment="1" applyProtection="1">
      <alignment horizontal="left" vertical="center"/>
    </xf>
    <xf numFmtId="0" fontId="16" fillId="39" borderId="51" xfId="0" applyFont="1" applyFill="1" applyBorder="1" applyAlignment="1" applyProtection="1">
      <alignment horizontal="left" vertical="center"/>
    </xf>
    <xf numFmtId="0" fontId="16" fillId="39" borderId="25" xfId="0" applyFont="1" applyFill="1" applyBorder="1" applyAlignment="1" applyProtection="1">
      <alignment horizontal="left" vertical="center"/>
    </xf>
    <xf numFmtId="0" fontId="16" fillId="39" borderId="45" xfId="0" applyFont="1" applyFill="1" applyBorder="1" applyAlignment="1" applyProtection="1">
      <alignment horizontal="left" vertical="center"/>
    </xf>
    <xf numFmtId="0" fontId="30" fillId="39" borderId="34" xfId="0" applyFont="1" applyFill="1" applyBorder="1" applyAlignment="1" applyProtection="1">
      <alignment horizontal="left" vertical="center" wrapText="1"/>
    </xf>
    <xf numFmtId="0" fontId="30" fillId="39" borderId="35" xfId="0" applyFont="1" applyFill="1" applyBorder="1" applyAlignment="1" applyProtection="1">
      <alignment horizontal="left" vertical="center" wrapText="1"/>
    </xf>
    <xf numFmtId="0" fontId="30" fillId="39" borderId="68" xfId="0" applyFont="1" applyFill="1" applyBorder="1" applyAlignment="1" applyProtection="1">
      <alignment horizontal="left" vertical="center" wrapText="1"/>
    </xf>
    <xf numFmtId="0" fontId="5" fillId="38" borderId="26" xfId="0" applyFont="1" applyFill="1" applyBorder="1" applyProtection="1"/>
    <xf numFmtId="0" fontId="5" fillId="38" borderId="0" xfId="0" applyFont="1" applyFill="1" applyBorder="1" applyProtection="1"/>
    <xf numFmtId="0" fontId="5" fillId="38" borderId="48" xfId="0" applyFont="1" applyFill="1" applyBorder="1" applyProtection="1"/>
    <xf numFmtId="0" fontId="16" fillId="39" borderId="6" xfId="0" applyFont="1" applyFill="1" applyBorder="1" applyAlignment="1" applyProtection="1">
      <alignment horizontal="left" vertical="center"/>
    </xf>
    <xf numFmtId="0" fontId="16" fillId="39" borderId="48" xfId="0" applyFont="1" applyFill="1" applyBorder="1" applyAlignment="1" applyProtection="1">
      <alignment horizontal="left" vertical="center"/>
    </xf>
    <xf numFmtId="0" fontId="16" fillId="39" borderId="3" xfId="0" applyFont="1" applyFill="1" applyBorder="1" applyAlignment="1" applyProtection="1">
      <alignment horizontal="left" vertical="center"/>
    </xf>
    <xf numFmtId="0" fontId="16" fillId="39" borderId="72" xfId="0" applyFont="1" applyFill="1" applyBorder="1" applyAlignment="1" applyProtection="1">
      <alignment horizontal="left" vertical="center"/>
    </xf>
    <xf numFmtId="0" fontId="34" fillId="39" borderId="34" xfId="0" applyFont="1" applyFill="1" applyBorder="1" applyAlignment="1" applyProtection="1">
      <alignment horizontal="left" vertical="center" wrapText="1"/>
    </xf>
    <xf numFmtId="0" fontId="34" fillId="39" borderId="35" xfId="0" applyFont="1" applyFill="1" applyBorder="1" applyAlignment="1" applyProtection="1">
      <alignment horizontal="left" vertical="center" wrapText="1"/>
    </xf>
    <xf numFmtId="0" fontId="34" fillId="39" borderId="68" xfId="0" applyFont="1" applyFill="1" applyBorder="1" applyAlignment="1" applyProtection="1">
      <alignment horizontal="left" vertical="center" wrapText="1"/>
    </xf>
    <xf numFmtId="0" fontId="0" fillId="38" borderId="4" xfId="0" applyFill="1" applyBorder="1" applyAlignment="1" applyProtection="1">
      <alignment horizontal="left" vertical="center"/>
    </xf>
    <xf numFmtId="0" fontId="0" fillId="38" borderId="72" xfId="0" applyFill="1" applyBorder="1" applyAlignment="1" applyProtection="1">
      <alignment horizontal="left" vertical="center"/>
    </xf>
    <xf numFmtId="0" fontId="0" fillId="38" borderId="9" xfId="0" applyFill="1" applyBorder="1" applyAlignment="1" applyProtection="1">
      <alignment vertical="center"/>
    </xf>
    <xf numFmtId="0" fontId="0" fillId="38" borderId="51" xfId="0" applyFill="1" applyBorder="1" applyAlignment="1" applyProtection="1">
      <alignment vertical="center"/>
    </xf>
    <xf numFmtId="0" fontId="7" fillId="39" borderId="31" xfId="0" applyFont="1" applyFill="1" applyBorder="1" applyAlignment="1" applyProtection="1">
      <alignment horizontal="left" vertical="center"/>
    </xf>
    <xf numFmtId="0" fontId="7" fillId="39" borderId="71" xfId="0" applyFont="1" applyFill="1" applyBorder="1" applyAlignment="1" applyProtection="1">
      <alignment horizontal="left" vertical="center"/>
    </xf>
    <xf numFmtId="0" fontId="7" fillId="39" borderId="6" xfId="0" applyFont="1" applyFill="1" applyBorder="1" applyAlignment="1" applyProtection="1">
      <alignment horizontal="left" vertical="center"/>
    </xf>
    <xf numFmtId="0" fontId="7" fillId="39" borderId="48" xfId="0" applyFont="1" applyFill="1" applyBorder="1" applyAlignment="1" applyProtection="1">
      <alignment horizontal="left" vertical="center"/>
    </xf>
    <xf numFmtId="0" fontId="0" fillId="38" borderId="0" xfId="0" applyFill="1" applyBorder="1" applyAlignment="1" applyProtection="1">
      <alignment horizontal="left" vertical="center"/>
    </xf>
    <xf numFmtId="0" fontId="0" fillId="38" borderId="48" xfId="0" applyFill="1" applyBorder="1" applyAlignment="1" applyProtection="1">
      <alignment horizontal="left" vertical="center"/>
    </xf>
    <xf numFmtId="0" fontId="0" fillId="38" borderId="9" xfId="0" applyFill="1" applyBorder="1" applyAlignment="1" applyProtection="1">
      <alignment horizontal="left" vertical="center"/>
    </xf>
    <xf numFmtId="0" fontId="0" fillId="38" borderId="51" xfId="0" applyFill="1" applyBorder="1" applyAlignment="1" applyProtection="1">
      <alignment horizontal="left" vertical="center"/>
    </xf>
    <xf numFmtId="0" fontId="0" fillId="38" borderId="4" xfId="0" applyFill="1" applyBorder="1" applyAlignment="1" applyProtection="1">
      <alignment vertical="center"/>
    </xf>
    <xf numFmtId="0" fontId="0" fillId="38" borderId="72" xfId="0" applyFill="1" applyBorder="1" applyAlignment="1" applyProtection="1">
      <alignment vertical="center"/>
    </xf>
    <xf numFmtId="0" fontId="5" fillId="38" borderId="76" xfId="0" applyFont="1" applyFill="1" applyBorder="1" applyAlignment="1" applyProtection="1">
      <alignment horizontal="right" vertical="center"/>
    </xf>
    <xf numFmtId="0" fontId="5" fillId="38" borderId="70" xfId="0" applyFont="1" applyFill="1" applyBorder="1" applyAlignment="1" applyProtection="1">
      <alignment horizontal="right" vertical="center"/>
    </xf>
    <xf numFmtId="0" fontId="5" fillId="38" borderId="79" xfId="0" applyFont="1" applyFill="1" applyBorder="1" applyAlignment="1" applyProtection="1">
      <alignment horizontal="right" vertical="center"/>
    </xf>
    <xf numFmtId="0" fontId="5" fillId="38" borderId="67" xfId="0" applyFont="1" applyFill="1" applyBorder="1" applyAlignment="1" applyProtection="1">
      <alignment horizontal="right" vertical="center"/>
    </xf>
    <xf numFmtId="0" fontId="5" fillId="38" borderId="77" xfId="0" applyFont="1" applyFill="1" applyBorder="1" applyAlignment="1" applyProtection="1">
      <alignment horizontal="right" vertical="center"/>
    </xf>
    <xf numFmtId="0" fontId="6" fillId="38" borderId="0" xfId="0" applyFont="1" applyFill="1" applyBorder="1" applyProtection="1"/>
    <xf numFmtId="0" fontId="6" fillId="38" borderId="48" xfId="0" applyFont="1" applyFill="1" applyBorder="1" applyProtection="1"/>
    <xf numFmtId="0" fontId="5" fillId="38" borderId="77" xfId="0" applyFont="1" applyFill="1" applyBorder="1" applyAlignment="1" applyProtection="1">
      <alignment horizontal="center" vertical="center"/>
    </xf>
    <xf numFmtId="0" fontId="5" fillId="38" borderId="70" xfId="0" applyFont="1" applyFill="1" applyBorder="1" applyAlignment="1" applyProtection="1">
      <alignment horizontal="center" vertical="center"/>
    </xf>
    <xf numFmtId="0" fontId="5" fillId="38" borderId="79" xfId="0" applyFont="1" applyFill="1" applyBorder="1" applyAlignment="1" applyProtection="1">
      <alignment horizontal="center" vertical="center"/>
    </xf>
    <xf numFmtId="0" fontId="5" fillId="38" borderId="76" xfId="0" applyFont="1" applyFill="1" applyBorder="1" applyAlignment="1" applyProtection="1">
      <alignment horizontal="center" vertical="center"/>
    </xf>
    <xf numFmtId="0" fontId="5" fillId="38" borderId="67" xfId="0" applyFont="1" applyFill="1" applyBorder="1" applyAlignment="1" applyProtection="1">
      <alignment horizontal="center" vertical="center"/>
    </xf>
    <xf numFmtId="0" fontId="0" fillId="38" borderId="6" xfId="0" applyFill="1" applyBorder="1" applyAlignment="1" applyProtection="1">
      <alignment horizontal="left" vertical="center"/>
    </xf>
    <xf numFmtId="0" fontId="69" fillId="26" borderId="0" xfId="0" applyFont="1" applyFill="1" applyAlignment="1" applyProtection="1">
      <alignment horizontal="center" vertical="center"/>
    </xf>
    <xf numFmtId="0" fontId="30" fillId="38" borderId="26" xfId="0" applyFont="1" applyFill="1" applyBorder="1" applyAlignment="1" applyProtection="1">
      <alignment horizontal="center" vertical="center" wrapText="1"/>
    </xf>
    <xf numFmtId="0" fontId="30" fillId="38" borderId="7" xfId="0" applyFont="1" applyFill="1" applyBorder="1" applyAlignment="1" applyProtection="1">
      <alignment horizontal="center" vertical="center" wrapText="1"/>
    </xf>
    <xf numFmtId="0" fontId="30" fillId="38" borderId="27" xfId="0" applyFont="1" applyFill="1" applyBorder="1" applyAlignment="1" applyProtection="1">
      <alignment horizontal="center" vertical="center" wrapText="1"/>
    </xf>
    <xf numFmtId="0" fontId="30" fillId="38" borderId="29" xfId="0" applyFont="1" applyFill="1" applyBorder="1" applyAlignment="1" applyProtection="1">
      <alignment horizontal="center" vertical="center" wrapText="1"/>
    </xf>
    <xf numFmtId="0" fontId="0" fillId="38" borderId="3" xfId="0" applyFill="1" applyBorder="1" applyAlignment="1" applyProtection="1">
      <alignment vertical="center"/>
    </xf>
    <xf numFmtId="0" fontId="0" fillId="38" borderId="8" xfId="0" applyFill="1" applyBorder="1" applyAlignment="1" applyProtection="1">
      <alignment horizontal="left" vertical="center"/>
    </xf>
    <xf numFmtId="0" fontId="3" fillId="38" borderId="6" xfId="0" applyFont="1" applyFill="1" applyBorder="1" applyAlignment="1" applyProtection="1">
      <alignment vertical="center"/>
    </xf>
    <xf numFmtId="0" fontId="0" fillId="38" borderId="48" xfId="0" applyFill="1" applyBorder="1" applyAlignment="1" applyProtection="1">
      <alignment vertical="center"/>
    </xf>
    <xf numFmtId="0" fontId="53" fillId="26" borderId="0" xfId="1" applyFont="1" applyFill="1" applyAlignment="1" applyProtection="1">
      <alignment horizontal="left" vertical="center"/>
    </xf>
    <xf numFmtId="0" fontId="92" fillId="26" borderId="0" xfId="1" applyFont="1" applyFill="1" applyAlignment="1" applyProtection="1">
      <alignment horizontal="left" vertical="center"/>
    </xf>
    <xf numFmtId="0" fontId="6" fillId="20" borderId="0" xfId="0" applyFont="1" applyFill="1" applyAlignment="1">
      <alignment horizontal="center"/>
    </xf>
    <xf numFmtId="0" fontId="6" fillId="23" borderId="0" xfId="0" applyFont="1" applyFill="1" applyAlignment="1">
      <alignment horizontal="center"/>
    </xf>
    <xf numFmtId="0" fontId="0" fillId="26" borderId="0" xfId="0" applyFill="1" applyAlignment="1" applyProtection="1">
      <alignment horizontal="right" vertical="center"/>
    </xf>
    <xf numFmtId="0" fontId="3" fillId="38" borderId="8" xfId="0" applyFont="1" applyFill="1" applyBorder="1" applyAlignment="1" applyProtection="1">
      <alignment vertical="center"/>
    </xf>
    <xf numFmtId="0" fontId="5" fillId="38" borderId="2" xfId="0" applyFont="1" applyFill="1" applyBorder="1" applyAlignment="1" applyProtection="1">
      <alignment horizontal="left" vertical="center"/>
    </xf>
    <xf numFmtId="0" fontId="5" fillId="38" borderId="53" xfId="0" applyFont="1" applyFill="1" applyBorder="1" applyAlignment="1" applyProtection="1">
      <alignment horizontal="left" vertical="center"/>
    </xf>
    <xf numFmtId="0" fontId="3" fillId="38" borderId="3" xfId="0" applyFont="1" applyFill="1" applyBorder="1" applyAlignment="1" applyProtection="1">
      <alignment vertical="center"/>
    </xf>
    <xf numFmtId="0" fontId="12" fillId="38" borderId="0" xfId="0" applyFont="1" applyFill="1" applyBorder="1"/>
    <xf numFmtId="0" fontId="24" fillId="26" borderId="0" xfId="0" applyFont="1" applyFill="1" applyAlignment="1">
      <alignment horizontal="center"/>
    </xf>
    <xf numFmtId="0" fontId="0" fillId="38" borderId="0" xfId="0" quotePrefix="1" applyFill="1" applyBorder="1"/>
    <xf numFmtId="0" fontId="24" fillId="26" borderId="0" xfId="0" applyFont="1" applyFill="1" applyAlignment="1" applyProtection="1">
      <alignment horizontal="center" vertical="center" wrapText="1"/>
    </xf>
    <xf numFmtId="0" fontId="22" fillId="39" borderId="27" xfId="0" applyFont="1" applyFill="1" applyBorder="1" applyAlignment="1">
      <alignment horizontal="center"/>
    </xf>
    <xf numFmtId="0" fontId="22" fillId="39" borderId="28" xfId="0" applyFont="1" applyFill="1" applyBorder="1" applyAlignment="1">
      <alignment horizontal="center"/>
    </xf>
    <xf numFmtId="0" fontId="22" fillId="39" borderId="71" xfId="0" applyFont="1" applyFill="1" applyBorder="1" applyAlignment="1">
      <alignment horizontal="center"/>
    </xf>
    <xf numFmtId="0" fontId="7" fillId="26" borderId="9" xfId="0" applyFont="1" applyFill="1" applyBorder="1" applyAlignment="1">
      <alignment horizontal="center" wrapText="1"/>
    </xf>
    <xf numFmtId="0" fontId="5" fillId="39" borderId="32" xfId="0" applyFont="1" applyFill="1" applyBorder="1"/>
    <xf numFmtId="0" fontId="5" fillId="39" borderId="22" xfId="0" applyFont="1" applyFill="1" applyBorder="1"/>
    <xf numFmtId="0" fontId="0" fillId="39" borderId="0" xfId="0" quotePrefix="1" applyFill="1" applyBorder="1"/>
    <xf numFmtId="0" fontId="5" fillId="38" borderId="32" xfId="0" applyFont="1" applyFill="1" applyBorder="1"/>
    <xf numFmtId="0" fontId="5" fillId="38" borderId="22" xfId="0" applyFont="1" applyFill="1" applyBorder="1"/>
    <xf numFmtId="0" fontId="0" fillId="38" borderId="0" xfId="0" applyFill="1" applyBorder="1"/>
    <xf numFmtId="0" fontId="30" fillId="26" borderId="0" xfId="0" applyFont="1" applyFill="1" applyAlignment="1">
      <alignment horizontal="left" wrapText="1"/>
    </xf>
    <xf numFmtId="0" fontId="22" fillId="38" borderId="27" xfId="0" applyFont="1" applyFill="1" applyBorder="1" applyAlignment="1">
      <alignment horizontal="center"/>
    </xf>
    <xf numFmtId="0" fontId="22" fillId="38" borderId="28" xfId="0" applyFont="1" applyFill="1" applyBorder="1" applyAlignment="1">
      <alignment horizontal="center"/>
    </xf>
    <xf numFmtId="0" fontId="22" fillId="38" borderId="71" xfId="0" applyFont="1" applyFill="1" applyBorder="1" applyAlignment="1">
      <alignment horizontal="center"/>
    </xf>
    <xf numFmtId="0" fontId="68" fillId="38" borderId="0" xfId="0" applyFont="1" applyFill="1" applyBorder="1" applyAlignment="1">
      <alignment horizontal="left"/>
    </xf>
    <xf numFmtId="0" fontId="30" fillId="26" borderId="0" xfId="0" applyFont="1" applyFill="1" applyAlignment="1">
      <alignment horizontal="left" vertical="center" wrapText="1"/>
    </xf>
    <xf numFmtId="0" fontId="24" fillId="26" borderId="0" xfId="0" applyFont="1" applyFill="1" applyAlignment="1">
      <alignment horizontal="center" wrapText="1"/>
    </xf>
    <xf numFmtId="0" fontId="5" fillId="39" borderId="70" xfId="0" applyFont="1" applyFill="1" applyBorder="1" applyAlignment="1">
      <alignment horizontal="center"/>
    </xf>
    <xf numFmtId="0" fontId="5" fillId="39" borderId="67" xfId="0" applyFont="1" applyFill="1" applyBorder="1" applyAlignment="1">
      <alignment horizontal="center"/>
    </xf>
    <xf numFmtId="0" fontId="31" fillId="2" borderId="0" xfId="0" applyFont="1" applyFill="1" applyAlignment="1">
      <alignment horizontal="center" vertical="center" wrapText="1"/>
    </xf>
    <xf numFmtId="0" fontId="24" fillId="26" borderId="0" xfId="0" applyFont="1" applyFill="1" applyAlignment="1" applyProtection="1">
      <alignment horizontal="center" vertical="center"/>
    </xf>
    <xf numFmtId="0" fontId="34" fillId="39" borderId="27" xfId="0" applyFont="1" applyFill="1" applyBorder="1" applyAlignment="1" applyProtection="1">
      <alignment horizontal="left" vertical="center" wrapText="1"/>
    </xf>
    <xf numFmtId="0" fontId="34" fillId="39" borderId="28" xfId="0" applyFont="1" applyFill="1" applyBorder="1" applyAlignment="1" applyProtection="1">
      <alignment horizontal="left" vertical="center" wrapText="1"/>
    </xf>
    <xf numFmtId="0" fontId="34" fillId="39" borderId="71" xfId="0" applyFont="1" applyFill="1" applyBorder="1" applyAlignment="1" applyProtection="1">
      <alignment horizontal="left" vertical="center" wrapText="1"/>
    </xf>
    <xf numFmtId="0" fontId="34" fillId="39" borderId="32" xfId="0" applyFont="1" applyFill="1" applyBorder="1" applyAlignment="1" applyProtection="1">
      <alignment horizontal="left" vertical="center" wrapText="1"/>
    </xf>
    <xf numFmtId="0" fontId="34" fillId="39" borderId="22" xfId="0" applyFont="1" applyFill="1" applyBorder="1" applyAlignment="1" applyProtection="1">
      <alignment horizontal="left" vertical="center" wrapText="1"/>
    </xf>
    <xf numFmtId="0" fontId="34" fillId="39" borderId="45" xfId="0" applyFont="1" applyFill="1" applyBorder="1" applyAlignment="1" applyProtection="1">
      <alignment horizontal="left" vertical="center" wrapText="1"/>
    </xf>
    <xf numFmtId="0" fontId="34" fillId="21" borderId="26" xfId="0" applyFont="1" applyFill="1" applyBorder="1" applyAlignment="1" applyProtection="1">
      <alignment horizontal="left" wrapText="1"/>
    </xf>
    <xf numFmtId="0" fontId="34" fillId="21" borderId="0" xfId="0" applyFont="1" applyFill="1" applyBorder="1" applyAlignment="1" applyProtection="1">
      <alignment horizontal="left" wrapText="1"/>
    </xf>
    <xf numFmtId="0" fontId="34" fillId="21" borderId="48" xfId="0" applyFont="1" applyFill="1" applyBorder="1" applyAlignment="1" applyProtection="1">
      <alignment horizontal="left" wrapText="1"/>
    </xf>
    <xf numFmtId="0" fontId="5" fillId="38" borderId="32" xfId="0" applyFont="1" applyFill="1" applyBorder="1" applyProtection="1"/>
    <xf numFmtId="0" fontId="5" fillId="38" borderId="22" xfId="0" applyFont="1" applyFill="1" applyBorder="1" applyProtection="1"/>
    <xf numFmtId="0" fontId="5" fillId="38" borderId="78" xfId="0" applyFont="1" applyFill="1" applyBorder="1" applyProtection="1"/>
    <xf numFmtId="0" fontId="5" fillId="38" borderId="4" xfId="0" applyFont="1" applyFill="1" applyBorder="1" applyProtection="1"/>
    <xf numFmtId="0" fontId="5" fillId="21" borderId="78" xfId="0" applyFont="1" applyFill="1" applyBorder="1" applyProtection="1"/>
    <xf numFmtId="0" fontId="5" fillId="21" borderId="4" xfId="0" applyFont="1" applyFill="1" applyBorder="1" applyProtection="1"/>
    <xf numFmtId="0" fontId="30" fillId="2" borderId="0" xfId="0" applyFont="1" applyFill="1" applyAlignment="1">
      <alignment horizontal="center" vertical="center"/>
    </xf>
    <xf numFmtId="0" fontId="44"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6" xfId="0" applyFill="1" applyBorder="1" applyAlignment="1">
      <alignment horizontal="left" vertical="center" wrapText="1"/>
    </xf>
    <xf numFmtId="0" fontId="0" fillId="2" borderId="0" xfId="0" applyFill="1" applyBorder="1" applyAlignment="1">
      <alignment horizontal="left" vertical="center" wrapText="1"/>
    </xf>
    <xf numFmtId="0" fontId="0" fillId="2" borderId="0" xfId="0" applyFill="1" applyAlignment="1">
      <alignment horizontal="center" wrapText="1"/>
    </xf>
    <xf numFmtId="0" fontId="16" fillId="2" borderId="119" xfId="0" applyFont="1" applyFill="1" applyBorder="1" applyAlignment="1">
      <alignment horizontal="center" wrapText="1"/>
    </xf>
    <xf numFmtId="0" fontId="16" fillId="2" borderId="134" xfId="0" applyFont="1" applyFill="1" applyBorder="1" applyAlignment="1">
      <alignment horizontal="center" wrapText="1"/>
    </xf>
    <xf numFmtId="0" fontId="16" fillId="2" borderId="112" xfId="0" applyFont="1" applyFill="1" applyBorder="1" applyAlignment="1">
      <alignment horizontal="center" wrapText="1"/>
    </xf>
    <xf numFmtId="0" fontId="16" fillId="2" borderId="113" xfId="0" applyFont="1" applyFill="1" applyBorder="1" applyAlignment="1">
      <alignment horizontal="center" wrapText="1"/>
    </xf>
    <xf numFmtId="0" fontId="16" fillId="2" borderId="114" xfId="0" applyFont="1" applyFill="1" applyBorder="1" applyAlignment="1">
      <alignment horizontal="center" wrapText="1"/>
    </xf>
    <xf numFmtId="0" fontId="16" fillId="2" borderId="135" xfId="0" applyFont="1" applyFill="1" applyBorder="1" applyAlignment="1">
      <alignment horizontal="center" wrapText="1"/>
    </xf>
    <xf numFmtId="0" fontId="3" fillId="2" borderId="0" xfId="0" applyFont="1" applyFill="1" applyAlignment="1">
      <alignment horizontal="center" vertical="center" wrapText="1"/>
    </xf>
    <xf numFmtId="0" fontId="3" fillId="20" borderId="0" xfId="0" applyFont="1" applyFill="1" applyAlignment="1">
      <alignment horizontal="center"/>
    </xf>
    <xf numFmtId="0" fontId="3" fillId="4" borderId="0" xfId="0" applyFont="1" applyFill="1" applyAlignment="1">
      <alignment horizontal="center" vertical="center" wrapText="1"/>
    </xf>
    <xf numFmtId="0" fontId="0" fillId="4" borderId="0" xfId="0" applyFill="1" applyAlignment="1">
      <alignment horizontal="center" vertical="center" wrapText="1"/>
    </xf>
    <xf numFmtId="0" fontId="30" fillId="2" borderId="0" xfId="0" applyFont="1" applyFill="1" applyAlignment="1">
      <alignment wrapText="1"/>
    </xf>
    <xf numFmtId="0" fontId="0" fillId="5" borderId="2" xfId="0" applyFill="1" applyBorder="1" applyAlignment="1" applyProtection="1">
      <alignment horizontal="left"/>
      <protection locked="0"/>
    </xf>
    <xf numFmtId="0" fontId="0" fillId="5" borderId="11" xfId="0" applyFill="1" applyBorder="1" applyAlignment="1" applyProtection="1">
      <alignment horizontal="left"/>
      <protection locked="0"/>
    </xf>
    <xf numFmtId="0" fontId="0" fillId="5" borderId="12" xfId="0" applyFill="1" applyBorder="1" applyAlignment="1" applyProtection="1">
      <alignment horizontal="left"/>
      <protection locked="0"/>
    </xf>
    <xf numFmtId="0" fontId="0" fillId="2" borderId="0" xfId="0" applyFill="1" applyAlignment="1">
      <alignment horizontal="left" wrapText="1"/>
    </xf>
    <xf numFmtId="0" fontId="0" fillId="2" borderId="7" xfId="0" applyFill="1" applyBorder="1" applyAlignment="1">
      <alignment horizontal="left" wrapText="1"/>
    </xf>
    <xf numFmtId="0" fontId="23" fillId="2" borderId="28" xfId="0" applyFont="1" applyFill="1" applyBorder="1" applyAlignment="1" applyProtection="1">
      <alignment horizontal="left" vertical="center"/>
    </xf>
    <xf numFmtId="0" fontId="33" fillId="2" borderId="0" xfId="0" applyFont="1" applyFill="1" applyAlignment="1">
      <alignment horizontal="center" vertical="top" wrapText="1"/>
    </xf>
    <xf numFmtId="0" fontId="21" fillId="2" borderId="0" xfId="1" applyFont="1" applyFill="1" applyAlignment="1" applyProtection="1">
      <alignment horizontal="left"/>
    </xf>
    <xf numFmtId="0" fontId="33" fillId="2" borderId="0" xfId="0" applyFont="1" applyFill="1" applyAlignment="1">
      <alignment horizontal="center" vertical="center" wrapText="1"/>
    </xf>
    <xf numFmtId="0" fontId="3" fillId="2" borderId="0" xfId="0" applyFont="1" applyFill="1" applyAlignment="1">
      <alignment horizontal="left" vertical="top" wrapText="1"/>
    </xf>
    <xf numFmtId="0" fontId="31" fillId="2" borderId="0" xfId="0" applyFont="1" applyFill="1" applyBorder="1" applyAlignment="1">
      <alignment horizontal="left" vertical="top" wrapText="1"/>
    </xf>
    <xf numFmtId="0" fontId="31" fillId="2" borderId="0" xfId="0" applyFont="1" applyFill="1" applyBorder="1" applyAlignment="1">
      <alignment horizontal="left" vertical="top"/>
    </xf>
    <xf numFmtId="0" fontId="71" fillId="28" borderId="0" xfId="0" applyFont="1" applyFill="1" applyAlignment="1">
      <alignment horizontal="left" wrapText="1"/>
    </xf>
    <xf numFmtId="0" fontId="3" fillId="28" borderId="8" xfId="0" applyFont="1" applyFill="1" applyBorder="1" applyAlignment="1">
      <alignment horizontal="right" wrapText="1"/>
    </xf>
    <xf numFmtId="0" fontId="3" fillId="28" borderId="10" xfId="0" applyFont="1" applyFill="1" applyBorder="1" applyAlignment="1">
      <alignment horizontal="right" wrapText="1"/>
    </xf>
    <xf numFmtId="0" fontId="3" fillId="28" borderId="3" xfId="0" applyFont="1" applyFill="1" applyBorder="1" applyAlignment="1">
      <alignment horizontal="right"/>
    </xf>
    <xf numFmtId="0" fontId="3" fillId="28" borderId="5" xfId="0" applyFont="1" applyFill="1" applyBorder="1" applyAlignment="1">
      <alignment horizontal="right"/>
    </xf>
    <xf numFmtId="0" fontId="3" fillId="28" borderId="6" xfId="0" applyFont="1" applyFill="1" applyBorder="1" applyAlignment="1">
      <alignment horizontal="left" wrapText="1"/>
    </xf>
    <xf numFmtId="0" fontId="3" fillId="28" borderId="7" xfId="0" applyFont="1" applyFill="1" applyBorder="1" applyAlignment="1">
      <alignment horizontal="left" wrapText="1"/>
    </xf>
    <xf numFmtId="0" fontId="3" fillId="28" borderId="3" xfId="0" applyFont="1" applyFill="1" applyBorder="1" applyAlignment="1">
      <alignment horizontal="left" wrapText="1"/>
    </xf>
    <xf numFmtId="0" fontId="3" fillId="28" borderId="4" xfId="0" applyFont="1" applyFill="1" applyBorder="1" applyAlignment="1">
      <alignment horizontal="left" wrapText="1"/>
    </xf>
    <xf numFmtId="0" fontId="3" fillId="28" borderId="0" xfId="0" applyFont="1" applyFill="1" applyBorder="1" applyAlignment="1">
      <alignment horizontal="left" wrapText="1"/>
    </xf>
    <xf numFmtId="0" fontId="5" fillId="28" borderId="13" xfId="0" applyFont="1" applyFill="1" applyBorder="1" applyAlignment="1">
      <alignment vertical="top" wrapText="1"/>
    </xf>
    <xf numFmtId="0" fontId="5" fillId="28" borderId="14" xfId="0" applyFont="1" applyFill="1" applyBorder="1" applyAlignment="1">
      <alignment vertical="top" wrapText="1"/>
    </xf>
    <xf numFmtId="0" fontId="5" fillId="28" borderId="15" xfId="0" applyFont="1" applyFill="1" applyBorder="1" applyAlignment="1">
      <alignment vertical="top" wrapText="1"/>
    </xf>
    <xf numFmtId="0" fontId="3" fillId="28" borderId="3" xfId="0" applyFont="1" applyFill="1" applyBorder="1" applyAlignment="1">
      <alignment horizontal="center"/>
    </xf>
    <xf numFmtId="0" fontId="3" fillId="28" borderId="4" xfId="0" applyFont="1" applyFill="1" applyBorder="1" applyAlignment="1">
      <alignment horizontal="center"/>
    </xf>
    <xf numFmtId="0" fontId="3" fillId="28" borderId="5" xfId="0" applyFont="1" applyFill="1" applyBorder="1" applyAlignment="1">
      <alignment horizontal="center"/>
    </xf>
    <xf numFmtId="0" fontId="30" fillId="28" borderId="6" xfId="0" applyFont="1" applyFill="1" applyBorder="1" applyAlignment="1">
      <alignment horizontal="center" vertical="top" wrapText="1"/>
    </xf>
    <xf numFmtId="0" fontId="3" fillId="23" borderId="0" xfId="0" applyFont="1" applyFill="1" applyAlignment="1">
      <alignment horizontal="center"/>
    </xf>
    <xf numFmtId="0" fontId="0" fillId="23" borderId="0" xfId="0" applyFill="1" applyAlignment="1">
      <alignment horizontal="center"/>
    </xf>
    <xf numFmtId="0" fontId="5" fillId="28" borderId="13" xfId="0" applyFont="1" applyFill="1" applyBorder="1" applyAlignment="1">
      <alignment horizontal="left" vertical="top" wrapText="1"/>
    </xf>
    <xf numFmtId="0" fontId="5" fillId="28" borderId="14" xfId="0" applyFont="1" applyFill="1" applyBorder="1" applyAlignment="1">
      <alignment horizontal="left" vertical="top" wrapText="1"/>
    </xf>
    <xf numFmtId="0" fontId="3" fillId="28" borderId="6" xfId="0" applyFont="1" applyFill="1" applyBorder="1" applyAlignment="1">
      <alignment horizontal="right" vertical="top" wrapText="1"/>
    </xf>
    <xf numFmtId="0" fontId="3" fillId="28" borderId="7" xfId="0" applyFont="1" applyFill="1" applyBorder="1" applyAlignment="1">
      <alignment horizontal="right" vertical="top" wrapText="1"/>
    </xf>
    <xf numFmtId="0" fontId="5" fillId="28" borderId="8" xfId="0" applyFont="1" applyFill="1" applyBorder="1" applyAlignment="1">
      <alignment horizontal="right" vertical="top" wrapText="1"/>
    </xf>
    <xf numFmtId="0" fontId="5" fillId="28" borderId="10" xfId="0" applyFont="1" applyFill="1" applyBorder="1" applyAlignment="1">
      <alignment horizontal="right" vertical="top" wrapText="1"/>
    </xf>
    <xf numFmtId="0" fontId="30" fillId="28" borderId="6" xfId="0" applyFont="1" applyFill="1" applyBorder="1" applyAlignment="1">
      <alignment horizontal="center" vertical="center" wrapText="1"/>
    </xf>
    <xf numFmtId="0" fontId="31" fillId="28" borderId="0" xfId="0" applyFont="1" applyFill="1" applyAlignment="1">
      <alignment horizontal="center" vertical="center" wrapText="1"/>
    </xf>
    <xf numFmtId="0" fontId="31" fillId="28" borderId="0" xfId="0" applyFont="1" applyFill="1" applyAlignment="1">
      <alignment horizontal="left" vertical="center" wrapText="1" indent="1"/>
    </xf>
    <xf numFmtId="0" fontId="3" fillId="28" borderId="8" xfId="0" applyFont="1" applyFill="1" applyBorder="1" applyAlignment="1">
      <alignment horizontal="left" wrapText="1"/>
    </xf>
    <xf numFmtId="0" fontId="3" fillId="28" borderId="9" xfId="0" applyFont="1" applyFill="1" applyBorder="1" applyAlignment="1">
      <alignment horizontal="left" wrapText="1"/>
    </xf>
    <xf numFmtId="0" fontId="5" fillId="28" borderId="3" xfId="0" applyFont="1" applyFill="1" applyBorder="1" applyAlignment="1">
      <alignment horizontal="center" vertical="center" wrapText="1"/>
    </xf>
    <xf numFmtId="0" fontId="5" fillId="28" borderId="4" xfId="0" applyFont="1" applyFill="1" applyBorder="1" applyAlignment="1">
      <alignment horizontal="center" vertical="center" wrapText="1"/>
    </xf>
    <xf numFmtId="0" fontId="5" fillId="28" borderId="5" xfId="0" applyFont="1" applyFill="1" applyBorder="1" applyAlignment="1">
      <alignment horizontal="center" vertical="center" wrapText="1"/>
    </xf>
    <xf numFmtId="0" fontId="5" fillId="28" borderId="8" xfId="0" applyFont="1" applyFill="1" applyBorder="1" applyAlignment="1">
      <alignment horizontal="center" vertical="center" wrapText="1"/>
    </xf>
    <xf numFmtId="0" fontId="5" fillId="28" borderId="9" xfId="0" applyFont="1" applyFill="1" applyBorder="1" applyAlignment="1">
      <alignment horizontal="center" vertical="center" wrapText="1"/>
    </xf>
    <xf numFmtId="0" fontId="5" fillId="28" borderId="10" xfId="0" applyFont="1" applyFill="1" applyBorder="1" applyAlignment="1">
      <alignment horizontal="center" vertical="center" wrapText="1"/>
    </xf>
    <xf numFmtId="0" fontId="60" fillId="28" borderId="0" xfId="0" applyFont="1" applyFill="1" applyBorder="1" applyAlignment="1">
      <alignment horizontal="center" wrapText="1"/>
    </xf>
    <xf numFmtId="0" fontId="30" fillId="28" borderId="0" xfId="0" applyFont="1" applyFill="1" applyBorder="1" applyAlignment="1">
      <alignment horizontal="center" vertical="top" wrapText="1"/>
    </xf>
    <xf numFmtId="0" fontId="60" fillId="28" borderId="0" xfId="0" applyFont="1" applyFill="1" applyBorder="1" applyAlignment="1">
      <alignment horizontal="center" vertical="top" wrapText="1"/>
    </xf>
    <xf numFmtId="0" fontId="54" fillId="28" borderId="0" xfId="1" applyFont="1" applyFill="1" applyBorder="1" applyAlignment="1" applyProtection="1">
      <alignment horizontal="center" vertical="top" wrapText="1"/>
    </xf>
    <xf numFmtId="0" fontId="30" fillId="28" borderId="0" xfId="0" applyFont="1" applyFill="1" applyBorder="1" applyAlignment="1">
      <alignment horizontal="center" wrapText="1"/>
    </xf>
    <xf numFmtId="0" fontId="104" fillId="38" borderId="0" xfId="0" applyFont="1" applyFill="1" applyAlignment="1">
      <alignment horizontal="center" vertical="center" wrapText="1"/>
    </xf>
    <xf numFmtId="0" fontId="114" fillId="2" borderId="0" xfId="0" applyFont="1" applyFill="1" applyBorder="1" applyAlignment="1">
      <alignment horizontal="left" vertical="top" wrapText="1"/>
    </xf>
    <xf numFmtId="0" fontId="30" fillId="2" borderId="0" xfId="0" applyFont="1" applyFill="1" applyBorder="1" applyAlignment="1">
      <alignment horizontal="left" vertical="center" wrapText="1"/>
    </xf>
    <xf numFmtId="0" fontId="30" fillId="2" borderId="0" xfId="0" applyFont="1" applyFill="1" applyBorder="1" applyAlignment="1">
      <alignment horizontal="left"/>
    </xf>
    <xf numFmtId="0" fontId="40" fillId="2" borderId="0" xfId="0" applyFont="1" applyFill="1" applyBorder="1" applyAlignment="1">
      <alignment horizontal="left" vertical="center" wrapText="1"/>
    </xf>
    <xf numFmtId="0" fontId="5" fillId="2" borderId="26" xfId="0" applyFont="1" applyFill="1" applyBorder="1"/>
    <xf numFmtId="0" fontId="5" fillId="2" borderId="0" xfId="0" applyFont="1" applyFill="1" applyBorder="1"/>
    <xf numFmtId="0" fontId="5" fillId="2" borderId="78" xfId="0" applyFont="1" applyFill="1" applyBorder="1"/>
    <xf numFmtId="0" fontId="5" fillId="2" borderId="4" xfId="0" applyFont="1" applyFill="1" applyBorder="1"/>
    <xf numFmtId="0" fontId="12" fillId="2" borderId="0" xfId="0" applyFont="1" applyFill="1" applyBorder="1" applyAlignment="1">
      <alignment horizontal="left"/>
    </xf>
    <xf numFmtId="0" fontId="0" fillId="2" borderId="28" xfId="0" applyFill="1" applyBorder="1"/>
    <xf numFmtId="0" fontId="0" fillId="2" borderId="29" xfId="0" applyFill="1" applyBorder="1"/>
    <xf numFmtId="0" fontId="30" fillId="2" borderId="0" xfId="0" applyFont="1" applyFill="1" applyBorder="1"/>
    <xf numFmtId="0" fontId="3" fillId="2" borderId="0" xfId="0" applyFont="1" applyFill="1" applyBorder="1"/>
    <xf numFmtId="0" fontId="0" fillId="2" borderId="0" xfId="0" applyFill="1" applyBorder="1"/>
    <xf numFmtId="0" fontId="40" fillId="2" borderId="7" xfId="0" applyFont="1" applyFill="1" applyBorder="1" applyAlignment="1">
      <alignment horizontal="left" vertical="center" wrapText="1"/>
    </xf>
    <xf numFmtId="165" fontId="0" fillId="5" borderId="2" xfId="0" applyNumberFormat="1" applyFill="1" applyBorder="1" applyAlignment="1" applyProtection="1">
      <alignment horizontal="center" vertical="center"/>
      <protection locked="0"/>
    </xf>
    <xf numFmtId="165" fontId="0" fillId="5" borderId="12" xfId="0" applyNumberFormat="1" applyFill="1" applyBorder="1" applyAlignment="1" applyProtection="1">
      <alignment horizontal="center" vertical="center"/>
      <protection locked="0"/>
    </xf>
    <xf numFmtId="0" fontId="52" fillId="2" borderId="0" xfId="0" applyFont="1" applyFill="1" applyBorder="1" applyAlignment="1" applyProtection="1">
      <alignment horizontal="center" vertical="center"/>
    </xf>
    <xf numFmtId="0" fontId="5" fillId="2" borderId="22" xfId="0" applyFont="1" applyFill="1" applyBorder="1" applyAlignment="1">
      <alignment horizontal="center" vertical="center"/>
    </xf>
    <xf numFmtId="0" fontId="5" fillId="2" borderId="9" xfId="0" applyFont="1" applyFill="1" applyBorder="1" applyAlignment="1">
      <alignment vertical="top"/>
    </xf>
    <xf numFmtId="0" fontId="23" fillId="2" borderId="28" xfId="0" applyFont="1" applyFill="1" applyBorder="1" applyAlignment="1" applyProtection="1">
      <alignment horizontal="center" vertical="center"/>
    </xf>
    <xf numFmtId="0" fontId="5" fillId="2" borderId="32" xfId="0" applyFont="1" applyFill="1" applyBorder="1" applyAlignment="1">
      <alignment vertical="top"/>
    </xf>
    <xf numFmtId="0" fontId="5" fillId="2" borderId="22" xfId="0" applyFont="1" applyFill="1" applyBorder="1" applyAlignment="1">
      <alignment vertical="top"/>
    </xf>
    <xf numFmtId="0" fontId="52" fillId="2" borderId="0" xfId="0" applyFont="1" applyFill="1" applyAlignment="1" applyProtection="1">
      <alignment horizontal="center" vertical="center"/>
    </xf>
    <xf numFmtId="0" fontId="51" fillId="2" borderId="0" xfId="1" applyFont="1" applyFill="1" applyAlignment="1" applyProtection="1">
      <alignment horizontal="center"/>
    </xf>
    <xf numFmtId="0" fontId="0" fillId="0" borderId="2" xfId="0" applyBorder="1" applyProtection="1">
      <protection locked="0"/>
    </xf>
    <xf numFmtId="0" fontId="0" fillId="0" borderId="11" xfId="0" applyBorder="1" applyProtection="1">
      <protection locked="0"/>
    </xf>
    <xf numFmtId="0" fontId="0" fillId="0" borderId="12" xfId="0" applyBorder="1" applyProtection="1">
      <protection locked="0"/>
    </xf>
    <xf numFmtId="165" fontId="0" fillId="5" borderId="2" xfId="0" applyNumberFormat="1" applyFill="1" applyBorder="1" applyAlignment="1" applyProtection="1">
      <alignment vertical="center"/>
      <protection locked="0"/>
    </xf>
    <xf numFmtId="165" fontId="0" fillId="5" borderId="12" xfId="0" applyNumberFormat="1" applyFill="1" applyBorder="1" applyAlignment="1" applyProtection="1">
      <alignment vertical="center"/>
      <protection locked="0"/>
    </xf>
    <xf numFmtId="0" fontId="5" fillId="2" borderId="9" xfId="0" applyFont="1" applyFill="1" applyBorder="1"/>
    <xf numFmtId="0" fontId="5" fillId="2" borderId="77" xfId="0" applyFont="1" applyFill="1" applyBorder="1"/>
    <xf numFmtId="0" fontId="5" fillId="2" borderId="70" xfId="0" applyFont="1" applyFill="1" applyBorder="1"/>
    <xf numFmtId="0" fontId="33" fillId="2" borderId="0" xfId="0" applyFont="1" applyFill="1" applyBorder="1" applyAlignment="1">
      <alignment horizontal="center"/>
    </xf>
    <xf numFmtId="0" fontId="33" fillId="2" borderId="48" xfId="0" applyFont="1" applyFill="1" applyBorder="1" applyAlignment="1">
      <alignment horizontal="center"/>
    </xf>
    <xf numFmtId="0" fontId="33" fillId="2" borderId="9" xfId="0" applyFont="1" applyFill="1" applyBorder="1" applyAlignment="1">
      <alignment horizontal="center"/>
    </xf>
    <xf numFmtId="0" fontId="33" fillId="2" borderId="51" xfId="0" applyFont="1" applyFill="1" applyBorder="1" applyAlignment="1">
      <alignment horizontal="center"/>
    </xf>
    <xf numFmtId="165" fontId="0" fillId="5" borderId="2" xfId="0" applyNumberFormat="1" applyFill="1" applyBorder="1" applyAlignment="1" applyProtection="1">
      <alignment horizontal="left" vertical="center"/>
      <protection locked="0"/>
    </xf>
    <xf numFmtId="165" fontId="0" fillId="5" borderId="11" xfId="0" applyNumberFormat="1" applyFill="1" applyBorder="1" applyAlignment="1" applyProtection="1">
      <alignment horizontal="left" vertical="center"/>
      <protection locked="0"/>
    </xf>
    <xf numFmtId="165" fontId="0" fillId="5" borderId="12" xfId="0" applyNumberFormat="1" applyFill="1" applyBorder="1" applyAlignment="1" applyProtection="1">
      <alignment horizontal="left" vertical="center"/>
      <protection locked="0"/>
    </xf>
    <xf numFmtId="0" fontId="0" fillId="0" borderId="11" xfId="0" applyBorder="1" applyAlignment="1" applyProtection="1">
      <alignment horizontal="left"/>
      <protection locked="0"/>
    </xf>
    <xf numFmtId="0" fontId="0" fillId="0" borderId="12" xfId="0" applyBorder="1" applyAlignment="1" applyProtection="1">
      <alignment horizontal="left"/>
      <protection locked="0"/>
    </xf>
    <xf numFmtId="0" fontId="0" fillId="2" borderId="0" xfId="0" applyFill="1" applyBorder="1" applyAlignment="1">
      <alignment vertical="center"/>
    </xf>
    <xf numFmtId="0" fontId="40" fillId="2" borderId="0" xfId="0" applyFont="1" applyFill="1" applyBorder="1" applyAlignment="1">
      <alignment horizontal="left" wrapText="1"/>
    </xf>
    <xf numFmtId="0" fontId="3" fillId="2" borderId="0" xfId="0" applyFont="1" applyFill="1" applyBorder="1" applyAlignment="1">
      <alignment horizontal="center" vertical="center"/>
    </xf>
    <xf numFmtId="0" fontId="44" fillId="2" borderId="26" xfId="0" applyFont="1" applyFill="1" applyBorder="1"/>
    <xf numFmtId="0" fontId="44" fillId="2" borderId="0" xfId="0" applyFont="1" applyFill="1" applyBorder="1"/>
    <xf numFmtId="0" fontId="12" fillId="2" borderId="0" xfId="0" applyFont="1" applyFill="1" applyBorder="1"/>
    <xf numFmtId="0" fontId="44" fillId="2" borderId="7" xfId="0" applyFont="1" applyFill="1" applyBorder="1"/>
    <xf numFmtId="0" fontId="0" fillId="0" borderId="0" xfId="0" applyFill="1" applyAlignment="1">
      <alignment horizontal="center"/>
    </xf>
    <xf numFmtId="0" fontId="0" fillId="0" borderId="2" xfId="0" applyFill="1" applyBorder="1" applyAlignment="1">
      <alignment horizontal="center"/>
    </xf>
    <xf numFmtId="0" fontId="0" fillId="0" borderId="11" xfId="0" applyFill="1" applyBorder="1" applyAlignment="1">
      <alignment horizontal="center"/>
    </xf>
    <xf numFmtId="0" fontId="0" fillId="0" borderId="12" xfId="0" applyFill="1" applyBorder="1" applyAlignment="1">
      <alignment horizontal="center"/>
    </xf>
    <xf numFmtId="0" fontId="3" fillId="22" borderId="0" xfId="0" applyFont="1" applyFill="1" applyAlignment="1">
      <alignment horizontal="center"/>
    </xf>
    <xf numFmtId="0" fontId="34" fillId="2" borderId="133" xfId="0" applyFont="1" applyFill="1" applyBorder="1" applyAlignment="1">
      <alignment horizontal="left" wrapText="1"/>
    </xf>
    <xf numFmtId="0" fontId="34" fillId="2" borderId="0" xfId="0" applyFont="1" applyFill="1" applyBorder="1" applyAlignment="1">
      <alignment horizontal="left" wrapText="1"/>
    </xf>
    <xf numFmtId="0" fontId="34" fillId="2" borderId="136" xfId="0" applyFont="1" applyFill="1" applyBorder="1" applyAlignment="1">
      <alignment horizontal="left" wrapText="1"/>
    </xf>
    <xf numFmtId="0" fontId="53" fillId="2" borderId="0" xfId="1" applyFont="1" applyFill="1" applyAlignment="1" applyProtection="1">
      <alignment horizontal="center" vertical="center"/>
    </xf>
    <xf numFmtId="0" fontId="0" fillId="20" borderId="9" xfId="0" applyFill="1" applyBorder="1" applyAlignment="1">
      <alignment horizontal="center"/>
    </xf>
    <xf numFmtId="0" fontId="0" fillId="4" borderId="0" xfId="0" applyFill="1" applyAlignment="1">
      <alignment horizontal="center"/>
    </xf>
    <xf numFmtId="0" fontId="34" fillId="2" borderId="0" xfId="0" applyFont="1" applyFill="1" applyBorder="1" applyAlignment="1">
      <alignment horizontal="right"/>
    </xf>
    <xf numFmtId="0" fontId="34" fillId="2" borderId="26" xfId="0" applyFont="1" applyFill="1" applyBorder="1" applyAlignment="1"/>
    <xf numFmtId="0" fontId="34" fillId="2" borderId="0" xfId="0" applyFont="1" applyFill="1" applyBorder="1" applyAlignment="1"/>
    <xf numFmtId="0" fontId="0" fillId="2" borderId="0" xfId="0" applyFill="1" applyBorder="1" applyAlignment="1">
      <alignment horizontal="center"/>
    </xf>
    <xf numFmtId="0" fontId="0" fillId="2" borderId="48" xfId="0" applyFill="1" applyBorder="1" applyAlignment="1">
      <alignment horizontal="center"/>
    </xf>
    <xf numFmtId="0" fontId="0" fillId="2" borderId="9" xfId="0" applyFill="1" applyBorder="1" applyAlignment="1">
      <alignment horizontal="center"/>
    </xf>
    <xf numFmtId="0" fontId="0" fillId="2" borderId="51" xfId="0" applyFill="1" applyBorder="1" applyAlignment="1">
      <alignment horizontal="center"/>
    </xf>
    <xf numFmtId="0" fontId="0" fillId="20" borderId="2" xfId="0" applyFill="1" applyBorder="1" applyAlignment="1">
      <alignment horizontal="center"/>
    </xf>
    <xf numFmtId="0" fontId="0" fillId="20" borderId="11" xfId="0" applyFill="1" applyBorder="1" applyAlignment="1">
      <alignment horizontal="center"/>
    </xf>
    <xf numFmtId="0" fontId="0" fillId="20" borderId="12" xfId="0" applyFill="1" applyBorder="1" applyAlignment="1">
      <alignment horizontal="center"/>
    </xf>
    <xf numFmtId="0" fontId="31" fillId="2" borderId="0" xfId="0" applyFont="1" applyFill="1" applyBorder="1" applyAlignment="1">
      <alignment horizontal="left" wrapText="1"/>
    </xf>
    <xf numFmtId="0" fontId="24" fillId="2" borderId="0" xfId="0" applyFont="1" applyFill="1" applyAlignment="1" applyProtection="1">
      <alignment horizontal="center" vertical="center"/>
    </xf>
    <xf numFmtId="0" fontId="5" fillId="2" borderId="70" xfId="0" applyFont="1" applyFill="1" applyBorder="1" applyAlignment="1">
      <alignment horizontal="center" vertical="center"/>
    </xf>
    <xf numFmtId="0" fontId="5" fillId="2" borderId="32" xfId="0" applyFont="1" applyFill="1" applyBorder="1" applyAlignment="1">
      <alignment horizontal="left"/>
    </xf>
    <xf numFmtId="0" fontId="5" fillId="2" borderId="22" xfId="0" applyFont="1" applyFill="1" applyBorder="1" applyAlignment="1">
      <alignment horizontal="left"/>
    </xf>
    <xf numFmtId="0" fontId="34" fillId="2" borderId="26" xfId="0" applyFont="1" applyFill="1" applyBorder="1"/>
    <xf numFmtId="0" fontId="34" fillId="2" borderId="0" xfId="0" applyFont="1" applyFill="1" applyBorder="1"/>
    <xf numFmtId="0" fontId="24" fillId="2" borderId="26" xfId="0" applyFont="1" applyFill="1" applyBorder="1"/>
    <xf numFmtId="0" fontId="24" fillId="2" borderId="0" xfId="0" applyFont="1" applyFill="1" applyBorder="1"/>
    <xf numFmtId="0" fontId="5" fillId="2" borderId="9" xfId="0" applyFont="1" applyFill="1" applyBorder="1" applyAlignment="1">
      <alignment horizontal="center" wrapText="1"/>
    </xf>
    <xf numFmtId="0" fontId="5" fillId="2" borderId="107" xfId="0" applyFont="1" applyFill="1" applyBorder="1" applyAlignment="1">
      <alignment horizontal="center" wrapText="1"/>
    </xf>
    <xf numFmtId="0" fontId="3" fillId="30" borderId="0" xfId="0" applyFont="1" applyFill="1" applyAlignment="1">
      <alignment horizontal="center"/>
    </xf>
    <xf numFmtId="0" fontId="31" fillId="2" borderId="0" xfId="0" applyFont="1" applyFill="1" applyAlignment="1">
      <alignment horizontal="center" wrapText="1"/>
    </xf>
    <xf numFmtId="1" fontId="5" fillId="39" borderId="0" xfId="0" applyNumberFormat="1" applyFont="1" applyFill="1" applyBorder="1" applyAlignment="1">
      <alignment horizontal="center"/>
    </xf>
    <xf numFmtId="1" fontId="5" fillId="39" borderId="113" xfId="0" applyNumberFormat="1" applyFont="1" applyFill="1" applyBorder="1" applyAlignment="1">
      <alignment horizontal="center"/>
    </xf>
    <xf numFmtId="1" fontId="5" fillId="38" borderId="0" xfId="0" applyNumberFormat="1" applyFont="1" applyFill="1" applyBorder="1" applyAlignment="1">
      <alignment horizontal="center"/>
    </xf>
    <xf numFmtId="1" fontId="5" fillId="38" borderId="113" xfId="0" applyNumberFormat="1" applyFont="1" applyFill="1" applyBorder="1" applyAlignment="1">
      <alignment horizontal="center"/>
    </xf>
    <xf numFmtId="0" fontId="3" fillId="38" borderId="0" xfId="0" applyFont="1" applyFill="1" applyBorder="1" applyAlignment="1">
      <alignment horizontal="center"/>
    </xf>
    <xf numFmtId="0" fontId="3" fillId="38" borderId="113" xfId="0" applyFont="1" applyFill="1" applyBorder="1" applyAlignment="1">
      <alignment horizontal="center"/>
    </xf>
    <xf numFmtId="0" fontId="30" fillId="38" borderId="0" xfId="0" applyFont="1" applyFill="1" applyBorder="1" applyAlignment="1">
      <alignment horizontal="center" vertical="center" wrapText="1"/>
    </xf>
    <xf numFmtId="0" fontId="30" fillId="38" borderId="113" xfId="0" applyFont="1" applyFill="1" applyBorder="1" applyAlignment="1">
      <alignment horizontal="center" vertical="center" wrapText="1"/>
    </xf>
    <xf numFmtId="0" fontId="30" fillId="38" borderId="107" xfId="0" applyFont="1" applyFill="1" applyBorder="1" applyAlignment="1">
      <alignment horizontal="center" vertical="center" wrapText="1"/>
    </xf>
    <xf numFmtId="0" fontId="30" fillId="38" borderId="135" xfId="0" applyFont="1" applyFill="1" applyBorder="1" applyAlignment="1">
      <alignment horizontal="center" vertical="center" wrapText="1"/>
    </xf>
    <xf numFmtId="0" fontId="3" fillId="38" borderId="119" xfId="0" applyFont="1" applyFill="1" applyBorder="1"/>
    <xf numFmtId="0" fontId="3" fillId="38" borderId="137" xfId="0" applyFont="1" applyFill="1" applyBorder="1"/>
    <xf numFmtId="0" fontId="12" fillId="39" borderId="112" xfId="0" applyFont="1" applyFill="1" applyBorder="1"/>
    <xf numFmtId="0" fontId="12" fillId="39" borderId="0" xfId="0" applyFont="1" applyFill="1" applyBorder="1"/>
    <xf numFmtId="0" fontId="3" fillId="39" borderId="112" xfId="0" applyFont="1" applyFill="1" applyBorder="1"/>
    <xf numFmtId="0" fontId="3" fillId="39" borderId="0" xfId="0" applyFont="1" applyFill="1" applyBorder="1"/>
    <xf numFmtId="0" fontId="12" fillId="39" borderId="112" xfId="0" quotePrefix="1" applyFont="1" applyFill="1" applyBorder="1" applyAlignment="1">
      <alignment horizontal="left" vertical="top" wrapText="1"/>
    </xf>
    <xf numFmtId="0" fontId="12" fillId="39" borderId="0" xfId="0" quotePrefix="1" applyFont="1" applyFill="1" applyBorder="1" applyAlignment="1">
      <alignment horizontal="left" vertical="top" wrapText="1"/>
    </xf>
    <xf numFmtId="0" fontId="0" fillId="39" borderId="0" xfId="0" applyFill="1" applyBorder="1" applyAlignment="1">
      <alignment horizontal="center"/>
    </xf>
    <xf numFmtId="0" fontId="0" fillId="39" borderId="113" xfId="0" applyFill="1" applyBorder="1" applyAlignment="1">
      <alignment horizontal="center"/>
    </xf>
    <xf numFmtId="0" fontId="5" fillId="39" borderId="0" xfId="0" applyFont="1" applyFill="1" applyBorder="1" applyAlignment="1">
      <alignment horizontal="center"/>
    </xf>
    <xf numFmtId="0" fontId="5" fillId="39" borderId="113" xfId="0" applyFont="1" applyFill="1" applyBorder="1" applyAlignment="1">
      <alignment horizontal="center"/>
    </xf>
    <xf numFmtId="0" fontId="16" fillId="2" borderId="0" xfId="0" applyFont="1" applyFill="1" applyAlignment="1">
      <alignment horizontal="left" vertical="center" indent="1"/>
    </xf>
    <xf numFmtId="0" fontId="16" fillId="2" borderId="0" xfId="0" applyFont="1" applyFill="1" applyAlignment="1">
      <alignment horizontal="left" indent="3"/>
    </xf>
    <xf numFmtId="0" fontId="16" fillId="2" borderId="0" xfId="0" applyFont="1" applyFill="1" applyAlignment="1">
      <alignment horizontal="left" vertical="center" indent="3"/>
    </xf>
    <xf numFmtId="0" fontId="3" fillId="38" borderId="137" xfId="0" applyFont="1" applyFill="1" applyBorder="1" applyAlignment="1">
      <alignment horizontal="center"/>
    </xf>
    <xf numFmtId="0" fontId="3" fillId="38" borderId="134" xfId="0" applyFont="1" applyFill="1" applyBorder="1" applyAlignment="1">
      <alignment horizontal="center"/>
    </xf>
    <xf numFmtId="0" fontId="16" fillId="2" borderId="0" xfId="0" applyFont="1" applyFill="1" applyAlignment="1">
      <alignment wrapText="1"/>
    </xf>
    <xf numFmtId="0" fontId="3" fillId="38" borderId="112" xfId="0" quotePrefix="1" applyFont="1" applyFill="1" applyBorder="1"/>
    <xf numFmtId="0" fontId="3" fillId="38" borderId="0" xfId="0" quotePrefix="1" applyFont="1" applyFill="1" applyBorder="1"/>
    <xf numFmtId="0" fontId="12" fillId="38" borderId="112" xfId="0" quotePrefix="1" applyFont="1" applyFill="1" applyBorder="1"/>
    <xf numFmtId="0" fontId="12" fillId="38" borderId="0" xfId="0" quotePrefix="1" applyFont="1" applyFill="1" applyBorder="1"/>
    <xf numFmtId="0" fontId="3" fillId="38" borderId="112" xfId="0" applyFont="1" applyFill="1" applyBorder="1"/>
    <xf numFmtId="0" fontId="3" fillId="38" borderId="0" xfId="0" applyFont="1" applyFill="1" applyBorder="1"/>
    <xf numFmtId="0" fontId="12" fillId="38" borderId="112" xfId="0" applyFont="1" applyFill="1" applyBorder="1"/>
    <xf numFmtId="0" fontId="3" fillId="39" borderId="112" xfId="0" quotePrefix="1" applyFont="1" applyFill="1" applyBorder="1"/>
    <xf numFmtId="0" fontId="3" fillId="39" borderId="0" xfId="0" quotePrefix="1" applyFont="1" applyFill="1" applyBorder="1"/>
    <xf numFmtId="0" fontId="12" fillId="38" borderId="112" xfId="0" quotePrefix="1" applyFont="1" applyFill="1" applyBorder="1" applyAlignment="1">
      <alignment horizontal="left" vertical="top" wrapText="1"/>
    </xf>
    <xf numFmtId="0" fontId="12" fillId="38" borderId="0" xfId="0" quotePrefix="1" applyFont="1" applyFill="1" applyBorder="1" applyAlignment="1">
      <alignment horizontal="left" vertical="top" wrapText="1"/>
    </xf>
    <xf numFmtId="0" fontId="3" fillId="39" borderId="137" xfId="0" applyFont="1" applyFill="1" applyBorder="1" applyAlignment="1">
      <alignment horizontal="center"/>
    </xf>
    <xf numFmtId="0" fontId="3" fillId="39" borderId="134" xfId="0" applyFont="1" applyFill="1" applyBorder="1" applyAlignment="1">
      <alignment horizontal="center"/>
    </xf>
    <xf numFmtId="1" fontId="0" fillId="39" borderId="0" xfId="0" applyNumberFormat="1" applyFill="1" applyBorder="1" applyAlignment="1">
      <alignment horizontal="center"/>
    </xf>
    <xf numFmtId="1" fontId="0" fillId="39" borderId="113" xfId="0" applyNumberFormat="1" applyFill="1" applyBorder="1" applyAlignment="1">
      <alignment horizontal="center"/>
    </xf>
    <xf numFmtId="1" fontId="0" fillId="38" borderId="0" xfId="0" applyNumberFormat="1" applyFill="1" applyBorder="1" applyAlignment="1">
      <alignment horizontal="center"/>
    </xf>
    <xf numFmtId="1" fontId="0" fillId="38" borderId="113" xfId="0" applyNumberFormat="1" applyFill="1" applyBorder="1" applyAlignment="1">
      <alignment horizontal="center"/>
    </xf>
    <xf numFmtId="0" fontId="12" fillId="39" borderId="112" xfId="0" quotePrefix="1" applyFont="1" applyFill="1" applyBorder="1"/>
    <xf numFmtId="0" fontId="12" fillId="39" borderId="0" xfId="0" quotePrefix="1" applyFont="1" applyFill="1" applyBorder="1"/>
    <xf numFmtId="0" fontId="3" fillId="39" borderId="0" xfId="0" applyFont="1" applyFill="1" applyBorder="1" applyAlignment="1">
      <alignment horizontal="center"/>
    </xf>
    <xf numFmtId="0" fontId="3" fillId="39" borderId="113" xfId="0" applyFont="1" applyFill="1" applyBorder="1" applyAlignment="1">
      <alignment horizontal="center"/>
    </xf>
    <xf numFmtId="0" fontId="3" fillId="38" borderId="114" xfId="0" applyFont="1" applyFill="1" applyBorder="1"/>
    <xf numFmtId="0" fontId="3" fillId="38" borderId="107" xfId="0" applyFont="1" applyFill="1" applyBorder="1"/>
    <xf numFmtId="0" fontId="7" fillId="26" borderId="0" xfId="0" applyFont="1" applyFill="1"/>
    <xf numFmtId="0" fontId="3" fillId="39" borderId="119" xfId="0" applyFont="1" applyFill="1" applyBorder="1"/>
    <xf numFmtId="0" fontId="3" fillId="39" borderId="137" xfId="0" applyFont="1" applyFill="1" applyBorder="1"/>
    <xf numFmtId="0" fontId="40" fillId="38" borderId="3" xfId="0" applyFont="1" applyFill="1" applyBorder="1" applyAlignment="1">
      <alignment horizontal="center" wrapText="1"/>
    </xf>
    <xf numFmtId="0" fontId="40" fillId="38" borderId="5" xfId="0" applyFont="1" applyFill="1" applyBorder="1" applyAlignment="1">
      <alignment horizontal="center" wrapText="1"/>
    </xf>
    <xf numFmtId="0" fontId="40" fillId="38" borderId="8" xfId="0" applyFont="1" applyFill="1" applyBorder="1" applyAlignment="1">
      <alignment horizontal="center" wrapText="1"/>
    </xf>
    <xf numFmtId="0" fontId="40" fillId="38" borderId="10" xfId="0" applyFont="1" applyFill="1" applyBorder="1" applyAlignment="1">
      <alignment horizontal="center" wrapText="1"/>
    </xf>
    <xf numFmtId="165" fontId="40" fillId="38" borderId="6" xfId="0" applyNumberFormat="1" applyFont="1" applyFill="1" applyBorder="1" applyAlignment="1">
      <alignment horizontal="center"/>
    </xf>
    <xf numFmtId="165" fontId="40" fillId="38" borderId="7" xfId="0" applyNumberFormat="1" applyFont="1" applyFill="1" applyBorder="1" applyAlignment="1">
      <alignment horizontal="center"/>
    </xf>
    <xf numFmtId="0" fontId="40" fillId="38" borderId="6" xfId="0" applyFont="1" applyFill="1" applyBorder="1" applyAlignment="1">
      <alignment horizontal="center"/>
    </xf>
    <xf numFmtId="0" fontId="40" fillId="38" borderId="7" xfId="0" applyFont="1" applyFill="1" applyBorder="1" applyAlignment="1">
      <alignment horizontal="center"/>
    </xf>
    <xf numFmtId="0" fontId="40" fillId="38" borderId="8" xfId="0" applyFont="1" applyFill="1" applyBorder="1" applyAlignment="1">
      <alignment horizontal="center"/>
    </xf>
    <xf numFmtId="0" fontId="40" fillId="38" borderId="10" xfId="0" applyFont="1" applyFill="1" applyBorder="1" applyAlignment="1">
      <alignment horizontal="center"/>
    </xf>
    <xf numFmtId="0" fontId="3" fillId="26" borderId="0" xfId="0" applyFont="1" applyFill="1" applyAlignment="1">
      <alignment horizontal="left" wrapText="1"/>
    </xf>
    <xf numFmtId="0" fontId="0" fillId="26" borderId="0" xfId="0" applyFill="1" applyAlignment="1">
      <alignment horizontal="left" wrapText="1"/>
    </xf>
    <xf numFmtId="0" fontId="30" fillId="26" borderId="0" xfId="0" applyFont="1" applyFill="1" applyBorder="1" applyAlignment="1">
      <alignment horizontal="left" vertical="center" wrapText="1"/>
    </xf>
    <xf numFmtId="0" fontId="3" fillId="38" borderId="8" xfId="0" applyFont="1" applyFill="1" applyBorder="1" applyAlignment="1">
      <alignment horizontal="left"/>
    </xf>
    <xf numFmtId="0" fontId="3" fillId="38" borderId="9" xfId="0" applyFont="1" applyFill="1" applyBorder="1" applyAlignment="1">
      <alignment horizontal="left"/>
    </xf>
    <xf numFmtId="0" fontId="30" fillId="26" borderId="0" xfId="0" applyFont="1" applyFill="1" applyAlignment="1">
      <alignment vertical="center" wrapText="1"/>
    </xf>
    <xf numFmtId="0" fontId="5" fillId="25" borderId="3" xfId="0" applyFont="1" applyFill="1" applyBorder="1" applyAlignment="1">
      <alignment horizontal="center" vertical="top"/>
    </xf>
    <xf numFmtId="0" fontId="5" fillId="25" borderId="4" xfId="0" applyFont="1" applyFill="1" applyBorder="1" applyAlignment="1">
      <alignment horizontal="center" vertical="top"/>
    </xf>
    <xf numFmtId="0" fontId="21" fillId="26" borderId="0" xfId="1" applyFont="1" applyFill="1" applyAlignment="1" applyProtection="1">
      <alignment horizontal="left" vertical="top" wrapText="1"/>
    </xf>
    <xf numFmtId="0" fontId="3" fillId="25" borderId="6" xfId="0" applyFont="1" applyFill="1" applyBorder="1" applyAlignment="1">
      <alignment horizontal="center" vertical="center"/>
    </xf>
    <xf numFmtId="0" fontId="3" fillId="25" borderId="7" xfId="0" applyFont="1" applyFill="1" applyBorder="1" applyAlignment="1">
      <alignment horizontal="center" vertical="center"/>
    </xf>
    <xf numFmtId="0" fontId="3" fillId="25" borderId="8" xfId="0" applyFont="1" applyFill="1" applyBorder="1" applyAlignment="1">
      <alignment horizontal="center" vertical="center"/>
    </xf>
    <xf numFmtId="0" fontId="3" fillId="25" borderId="10" xfId="0" applyFont="1" applyFill="1" applyBorder="1" applyAlignment="1">
      <alignment horizontal="center" vertical="center"/>
    </xf>
    <xf numFmtId="0" fontId="16" fillId="26" borderId="0" xfId="0" applyFont="1" applyFill="1" applyAlignment="1">
      <alignment horizontal="left"/>
    </xf>
    <xf numFmtId="0" fontId="30" fillId="26" borderId="0" xfId="0" applyFont="1" applyFill="1" applyBorder="1" applyAlignment="1">
      <alignment horizontal="left" wrapText="1"/>
    </xf>
    <xf numFmtId="0" fontId="3" fillId="25" borderId="3" xfId="0" applyFont="1" applyFill="1" applyBorder="1" applyAlignment="1">
      <alignment horizontal="center" vertical="top" wrapText="1"/>
    </xf>
    <xf numFmtId="0" fontId="3" fillId="25" borderId="5" xfId="0" applyFont="1" applyFill="1" applyBorder="1" applyAlignment="1">
      <alignment horizontal="center" vertical="top" wrapText="1"/>
    </xf>
    <xf numFmtId="0" fontId="11" fillId="26" borderId="0" xfId="0" applyFont="1" applyFill="1" applyBorder="1" applyAlignment="1">
      <alignment horizontal="left" vertical="center" wrapText="1"/>
    </xf>
    <xf numFmtId="3" fontId="3" fillId="25" borderId="8" xfId="0" applyNumberFormat="1" applyFont="1" applyFill="1" applyBorder="1" applyAlignment="1">
      <alignment horizontal="center" vertical="top" wrapText="1"/>
    </xf>
    <xf numFmtId="3" fontId="3" fillId="25" borderId="9" xfId="0" applyNumberFormat="1" applyFont="1" applyFill="1" applyBorder="1" applyAlignment="1">
      <alignment horizontal="center" vertical="top" wrapText="1"/>
    </xf>
    <xf numFmtId="0" fontId="3" fillId="25" borderId="6" xfId="0" applyFont="1" applyFill="1" applyBorder="1" applyAlignment="1">
      <alignment horizontal="center" vertical="center" wrapText="1"/>
    </xf>
    <xf numFmtId="0" fontId="3" fillId="25" borderId="7" xfId="0" applyFont="1" applyFill="1" applyBorder="1" applyAlignment="1">
      <alignment horizontal="center" vertical="center" wrapText="1"/>
    </xf>
    <xf numFmtId="0" fontId="3" fillId="25" borderId="8" xfId="0" applyFont="1" applyFill="1" applyBorder="1" applyAlignment="1">
      <alignment horizontal="center" vertical="center" wrapText="1"/>
    </xf>
    <xf numFmtId="0" fontId="3" fillId="25" borderId="10" xfId="0" applyFont="1" applyFill="1" applyBorder="1" applyAlignment="1">
      <alignment horizontal="center" vertical="center" wrapText="1"/>
    </xf>
    <xf numFmtId="1" fontId="3" fillId="38" borderId="0" xfId="2" applyNumberFormat="1" applyFont="1" applyFill="1" applyBorder="1" applyAlignment="1">
      <alignment horizontal="center"/>
    </xf>
    <xf numFmtId="1" fontId="3" fillId="38" borderId="7" xfId="2" applyNumberFormat="1" applyFont="1" applyFill="1" applyBorder="1" applyAlignment="1">
      <alignment horizontal="center"/>
    </xf>
    <xf numFmtId="0" fontId="3" fillId="25" borderId="6" xfId="0" applyFont="1" applyFill="1" applyBorder="1" applyAlignment="1">
      <alignment horizontal="center"/>
    </xf>
    <xf numFmtId="0" fontId="3" fillId="25" borderId="5" xfId="0" applyFont="1" applyFill="1" applyBorder="1" applyAlignment="1">
      <alignment horizontal="center"/>
    </xf>
    <xf numFmtId="0" fontId="30" fillId="26" borderId="0" xfId="0" applyFont="1" applyFill="1" applyAlignment="1">
      <alignment horizontal="left" vertical="top" wrapText="1"/>
    </xf>
    <xf numFmtId="0" fontId="40" fillId="26" borderId="0" xfId="0" applyFont="1" applyFill="1" applyAlignment="1">
      <alignment horizontal="left" vertical="center" wrapText="1"/>
    </xf>
    <xf numFmtId="0" fontId="24" fillId="26" borderId="0" xfId="0" applyFont="1" applyFill="1" applyAlignment="1" applyProtection="1">
      <alignment vertical="center"/>
    </xf>
    <xf numFmtId="0" fontId="3" fillId="38" borderId="7" xfId="0" applyFont="1" applyFill="1" applyBorder="1" applyAlignment="1">
      <alignment horizontal="center"/>
    </xf>
    <xf numFmtId="0" fontId="3" fillId="38" borderId="4" xfId="0" applyFont="1" applyFill="1" applyBorder="1" applyAlignment="1">
      <alignment horizontal="center"/>
    </xf>
    <xf numFmtId="0" fontId="3" fillId="38" borderId="5" xfId="0" applyFont="1" applyFill="1" applyBorder="1" applyAlignment="1">
      <alignment horizontal="center"/>
    </xf>
    <xf numFmtId="164" fontId="0" fillId="38" borderId="9" xfId="2" applyNumberFormat="1" applyFont="1" applyFill="1" applyBorder="1" applyAlignment="1">
      <alignment horizontal="center" vertical="top"/>
    </xf>
    <xf numFmtId="3" fontId="5" fillId="38" borderId="3" xfId="0" applyNumberFormat="1" applyFont="1" applyFill="1" applyBorder="1" applyAlignment="1">
      <alignment horizontal="left"/>
    </xf>
    <xf numFmtId="3" fontId="5" fillId="38" borderId="4" xfId="0" applyNumberFormat="1" applyFont="1" applyFill="1" applyBorder="1" applyAlignment="1">
      <alignment horizontal="left"/>
    </xf>
    <xf numFmtId="3" fontId="5" fillId="38" borderId="5" xfId="0" applyNumberFormat="1" applyFont="1" applyFill="1" applyBorder="1" applyAlignment="1">
      <alignment horizontal="left"/>
    </xf>
    <xf numFmtId="0" fontId="3" fillId="38" borderId="3" xfId="0" applyFont="1" applyFill="1" applyBorder="1" applyAlignment="1">
      <alignment horizontal="center"/>
    </xf>
    <xf numFmtId="0" fontId="3" fillId="25" borderId="0" xfId="0" applyFont="1" applyFill="1" applyBorder="1" applyAlignment="1">
      <alignment horizontal="center"/>
    </xf>
    <xf numFmtId="0" fontId="3" fillId="25" borderId="7" xfId="0" applyFont="1" applyFill="1" applyBorder="1" applyAlignment="1">
      <alignment horizontal="center"/>
    </xf>
    <xf numFmtId="0" fontId="3" fillId="38" borderId="11" xfId="0" applyFont="1" applyFill="1" applyBorder="1" applyAlignment="1">
      <alignment horizontal="center" vertical="top" wrapText="1"/>
    </xf>
    <xf numFmtId="0" fontId="3" fillId="38" borderId="12" xfId="0" applyFont="1" applyFill="1" applyBorder="1" applyAlignment="1">
      <alignment horizontal="center" vertical="top" wrapText="1"/>
    </xf>
    <xf numFmtId="9" fontId="0" fillId="38" borderId="9" xfId="2" applyFont="1" applyFill="1" applyBorder="1" applyAlignment="1">
      <alignment horizontal="center"/>
    </xf>
    <xf numFmtId="9" fontId="0" fillId="38" borderId="10" xfId="2" applyFont="1" applyFill="1" applyBorder="1" applyAlignment="1">
      <alignment horizontal="center"/>
    </xf>
    <xf numFmtId="0" fontId="40" fillId="26" borderId="0" xfId="0" applyFont="1" applyFill="1" applyAlignment="1">
      <alignment horizontal="left" vertical="top" wrapText="1"/>
    </xf>
    <xf numFmtId="0" fontId="76" fillId="32" borderId="0" xfId="1" applyFont="1" applyFill="1" applyAlignment="1" applyProtection="1">
      <alignment horizontal="left"/>
    </xf>
    <xf numFmtId="0" fontId="5" fillId="32" borderId="0" xfId="0" applyFont="1" applyFill="1" applyAlignment="1">
      <alignment horizontal="left" wrapText="1"/>
    </xf>
    <xf numFmtId="0" fontId="5" fillId="32" borderId="0" xfId="0" applyFont="1" applyFill="1" applyAlignment="1">
      <alignment horizontal="left"/>
    </xf>
    <xf numFmtId="0" fontId="0" fillId="19" borderId="2" xfId="0" applyFill="1" applyBorder="1" applyAlignment="1" applyProtection="1">
      <alignment horizontal="center"/>
      <protection locked="0"/>
    </xf>
    <xf numFmtId="0" fontId="0" fillId="19" borderId="12" xfId="0" applyFill="1" applyBorder="1" applyAlignment="1" applyProtection="1">
      <alignment horizontal="center"/>
      <protection locked="0"/>
    </xf>
    <xf numFmtId="0" fontId="3" fillId="32" borderId="0" xfId="0" applyFont="1" applyFill="1" applyAlignment="1">
      <alignment horizontal="center" wrapText="1"/>
    </xf>
    <xf numFmtId="0" fontId="3" fillId="19" borderId="13" xfId="0" applyFont="1" applyFill="1" applyBorder="1" applyAlignment="1" applyProtection="1">
      <alignment horizontal="center" vertical="center"/>
      <protection locked="0"/>
    </xf>
    <xf numFmtId="0" fontId="3" fillId="19" borderId="14" xfId="0" applyFont="1" applyFill="1" applyBorder="1" applyAlignment="1" applyProtection="1">
      <alignment horizontal="center" vertical="center"/>
      <protection locked="0"/>
    </xf>
    <xf numFmtId="0" fontId="3" fillId="19" borderId="15" xfId="0" applyFont="1" applyFill="1" applyBorder="1" applyAlignment="1" applyProtection="1">
      <alignment horizontal="center" vertical="center"/>
      <protection locked="0"/>
    </xf>
    <xf numFmtId="0" fontId="3" fillId="32" borderId="9" xfId="0" applyFont="1" applyFill="1" applyBorder="1" applyAlignment="1">
      <alignment horizontal="center"/>
    </xf>
    <xf numFmtId="0" fontId="3" fillId="32" borderId="9" xfId="0" applyFont="1" applyFill="1" applyBorder="1" applyAlignment="1">
      <alignment horizontal="center" wrapText="1"/>
    </xf>
    <xf numFmtId="0" fontId="12" fillId="24" borderId="0" xfId="0" applyFont="1" applyFill="1" applyAlignment="1">
      <alignment horizontal="left" vertical="top" wrapText="1"/>
    </xf>
    <xf numFmtId="0" fontId="12" fillId="41" borderId="0" xfId="0" applyFont="1" applyFill="1" applyAlignment="1">
      <alignment horizontal="left" vertical="top" wrapText="1"/>
    </xf>
    <xf numFmtId="0" fontId="12" fillId="40" borderId="0" xfId="0" applyFont="1" applyFill="1" applyAlignment="1">
      <alignment horizontal="left" vertical="top" wrapText="1"/>
    </xf>
    <xf numFmtId="0" fontId="80" fillId="26" borderId="0" xfId="0" applyFont="1" applyFill="1" applyAlignment="1">
      <alignment horizontal="left" wrapText="1"/>
    </xf>
    <xf numFmtId="0" fontId="80" fillId="26" borderId="0" xfId="0" applyFont="1" applyFill="1" applyAlignment="1">
      <alignment horizontal="left" vertical="top" wrapText="1"/>
    </xf>
    <xf numFmtId="0" fontId="80" fillId="26" borderId="0" xfId="0" applyFont="1" applyFill="1" applyAlignment="1">
      <alignment horizontal="left" vertical="top"/>
    </xf>
    <xf numFmtId="0" fontId="80" fillId="26" borderId="0" xfId="0" applyFont="1" applyFill="1" applyAlignment="1">
      <alignment horizontal="left" vertical="center" wrapText="1"/>
    </xf>
    <xf numFmtId="0" fontId="80" fillId="26" borderId="0" xfId="0" applyFont="1" applyFill="1" applyAlignment="1">
      <alignment horizontal="left" vertical="center"/>
    </xf>
    <xf numFmtId="0" fontId="93" fillId="26" borderId="0" xfId="0" applyFont="1" applyFill="1" applyAlignment="1">
      <alignment horizontal="center"/>
    </xf>
    <xf numFmtId="0" fontId="0" fillId="0" borderId="2" xfId="0" applyFill="1" applyBorder="1" applyAlignment="1" applyProtection="1">
      <alignment horizontal="center"/>
    </xf>
    <xf numFmtId="0" fontId="0" fillId="0" borderId="11" xfId="0" applyFill="1" applyBorder="1" applyAlignment="1" applyProtection="1">
      <alignment horizontal="center"/>
    </xf>
    <xf numFmtId="0" fontId="0" fillId="0" borderId="12" xfId="0" applyFill="1" applyBorder="1" applyAlignment="1" applyProtection="1">
      <alignment horizontal="center"/>
    </xf>
    <xf numFmtId="0" fontId="0" fillId="0" borderId="3" xfId="0" applyFill="1" applyBorder="1" applyAlignment="1" applyProtection="1">
      <alignment horizontal="center"/>
    </xf>
    <xf numFmtId="0" fontId="0" fillId="0" borderId="5" xfId="0" applyFill="1" applyBorder="1" applyAlignment="1" applyProtection="1">
      <alignment horizontal="center"/>
    </xf>
    <xf numFmtId="0" fontId="0" fillId="0" borderId="4" xfId="0" applyFill="1" applyBorder="1" applyAlignment="1" applyProtection="1">
      <alignment horizontal="center"/>
    </xf>
    <xf numFmtId="0" fontId="0" fillId="0" borderId="2" xfId="0" applyBorder="1" applyAlignment="1" applyProtection="1">
      <alignment horizontal="center"/>
    </xf>
    <xf numFmtId="0" fontId="0" fillId="0" borderId="11" xfId="0" applyBorder="1" applyAlignment="1" applyProtection="1">
      <alignment horizontal="center"/>
    </xf>
    <xf numFmtId="0" fontId="0" fillId="0" borderId="12" xfId="0" applyBorder="1" applyAlignment="1" applyProtection="1">
      <alignment horizontal="center"/>
    </xf>
    <xf numFmtId="0" fontId="5" fillId="0" borderId="0" xfId="0" applyFont="1" applyFill="1" applyAlignment="1" applyProtection="1">
      <alignment horizontal="center"/>
    </xf>
    <xf numFmtId="0" fontId="13" fillId="0" borderId="0" xfId="0" applyFont="1" applyFill="1" applyAlignment="1" applyProtection="1">
      <alignment horizontal="center" wrapText="1"/>
    </xf>
    <xf numFmtId="0" fontId="0" fillId="0" borderId="53" xfId="0" applyBorder="1" applyAlignment="1" applyProtection="1">
      <alignment horizontal="center"/>
    </xf>
    <xf numFmtId="0" fontId="0" fillId="0" borderId="32" xfId="0" applyBorder="1" applyAlignment="1" applyProtection="1">
      <alignment horizontal="center"/>
    </xf>
    <xf numFmtId="0" fontId="0" fillId="0" borderId="22" xfId="0" applyBorder="1" applyAlignment="1" applyProtection="1">
      <alignment horizontal="center"/>
    </xf>
    <xf numFmtId="0" fontId="0" fillId="0" borderId="45" xfId="0" applyBorder="1" applyAlignment="1" applyProtection="1">
      <alignment horizontal="center"/>
    </xf>
    <xf numFmtId="0" fontId="0" fillId="0" borderId="50" xfId="0" applyBorder="1" applyAlignment="1" applyProtection="1">
      <alignment horizontal="center"/>
    </xf>
    <xf numFmtId="0" fontId="0" fillId="0" borderId="9" xfId="0" applyBorder="1" applyAlignment="1" applyProtection="1">
      <alignment horizontal="center"/>
    </xf>
    <xf numFmtId="0" fontId="0" fillId="0" borderId="51" xfId="0" applyBorder="1" applyAlignment="1" applyProtection="1">
      <alignment horizontal="center"/>
    </xf>
    <xf numFmtId="0" fontId="0" fillId="0" borderId="46" xfId="0" applyBorder="1" applyAlignment="1" applyProtection="1">
      <alignment horizontal="center"/>
    </xf>
    <xf numFmtId="0" fontId="0" fillId="11" borderId="2" xfId="0" applyFill="1" applyBorder="1" applyAlignment="1" applyProtection="1">
      <alignment horizontal="center"/>
    </xf>
    <xf numFmtId="0" fontId="0" fillId="11" borderId="11" xfId="0" applyFill="1" applyBorder="1" applyAlignment="1" applyProtection="1">
      <alignment horizontal="center"/>
    </xf>
    <xf numFmtId="0" fontId="0" fillId="11" borderId="12" xfId="0" applyFill="1" applyBorder="1" applyAlignment="1" applyProtection="1">
      <alignment horizontal="center"/>
    </xf>
    <xf numFmtId="0" fontId="0" fillId="0" borderId="84" xfId="0" applyBorder="1" applyAlignment="1" applyProtection="1">
      <alignment horizontal="center"/>
    </xf>
    <xf numFmtId="0" fontId="0" fillId="0" borderId="108" xfId="0" applyBorder="1" applyAlignment="1" applyProtection="1">
      <alignment horizontal="center"/>
    </xf>
    <xf numFmtId="0" fontId="3" fillId="20" borderId="6" xfId="0" applyFont="1" applyFill="1" applyBorder="1" applyAlignment="1" applyProtection="1">
      <alignment horizontal="center"/>
    </xf>
    <xf numFmtId="0" fontId="3" fillId="20" borderId="0" xfId="0" applyFont="1" applyFill="1" applyBorder="1" applyAlignment="1" applyProtection="1">
      <alignment horizontal="center"/>
    </xf>
    <xf numFmtId="0" fontId="3" fillId="20" borderId="7" xfId="0" applyFont="1" applyFill="1" applyBorder="1" applyAlignment="1" applyProtection="1">
      <alignment horizontal="center"/>
    </xf>
    <xf numFmtId="0" fontId="0" fillId="0" borderId="77" xfId="0" applyBorder="1" applyAlignment="1" applyProtection="1">
      <alignment horizontal="center"/>
    </xf>
    <xf numFmtId="0" fontId="0" fillId="0" borderId="70" xfId="0" applyBorder="1" applyAlignment="1" applyProtection="1">
      <alignment horizontal="center"/>
    </xf>
    <xf numFmtId="0" fontId="0" fillId="0" borderId="76" xfId="0" applyBorder="1" applyAlignment="1" applyProtection="1">
      <alignment horizontal="center"/>
    </xf>
    <xf numFmtId="0" fontId="0" fillId="0" borderId="79" xfId="0" applyBorder="1" applyAlignment="1" applyProtection="1">
      <alignment horizontal="center"/>
    </xf>
    <xf numFmtId="0" fontId="0" fillId="0" borderId="67" xfId="0" applyBorder="1" applyAlignment="1" applyProtection="1">
      <alignment horizontal="center"/>
    </xf>
    <xf numFmtId="0" fontId="5" fillId="13" borderId="0" xfId="0" applyFont="1" applyFill="1" applyBorder="1" applyAlignment="1">
      <alignment horizontal="right"/>
    </xf>
    <xf numFmtId="0" fontId="0" fillId="15" borderId="0" xfId="0" applyFill="1" applyAlignment="1">
      <alignment wrapText="1"/>
    </xf>
    <xf numFmtId="0" fontId="0" fillId="0" borderId="4" xfId="0" applyFill="1" applyBorder="1" applyAlignment="1">
      <alignment horizontal="center"/>
    </xf>
    <xf numFmtId="0" fontId="0" fillId="0" borderId="5" xfId="0" applyFill="1" applyBorder="1" applyAlignment="1">
      <alignment horizontal="center"/>
    </xf>
    <xf numFmtId="0" fontId="3" fillId="0" borderId="6" xfId="0" applyFont="1" applyBorder="1" applyAlignment="1">
      <alignment horizontal="center"/>
    </xf>
    <xf numFmtId="0" fontId="3" fillId="0" borderId="0" xfId="0" applyFont="1" applyBorder="1" applyAlignment="1">
      <alignment horizontal="center"/>
    </xf>
    <xf numFmtId="0" fontId="3" fillId="0" borderId="7" xfId="0" applyFont="1" applyBorder="1" applyAlignment="1">
      <alignment horizontal="center"/>
    </xf>
    <xf numFmtId="0" fontId="3" fillId="0" borderId="0" xfId="0" applyFont="1" applyAlignment="1">
      <alignment horizontal="center"/>
    </xf>
    <xf numFmtId="0" fontId="3" fillId="0" borderId="9" xfId="0" applyFont="1" applyFill="1" applyBorder="1" applyAlignment="1">
      <alignment horizontal="center"/>
    </xf>
    <xf numFmtId="0" fontId="5" fillId="13" borderId="0" xfId="0" applyFont="1" applyFill="1" applyBorder="1" applyAlignment="1">
      <alignment horizontal="center"/>
    </xf>
    <xf numFmtId="0" fontId="5" fillId="13" borderId="0" xfId="0" applyFont="1" applyFill="1" applyAlignment="1">
      <alignment horizontal="center"/>
    </xf>
    <xf numFmtId="0" fontId="3" fillId="29" borderId="0" xfId="0" applyFont="1" applyFill="1" applyAlignment="1">
      <alignment horizontal="center"/>
    </xf>
    <xf numFmtId="0" fontId="0" fillId="0" borderId="77" xfId="0" applyFill="1" applyBorder="1" applyAlignment="1">
      <alignment horizontal="center"/>
    </xf>
    <xf numFmtId="0" fontId="0" fillId="0" borderId="70" xfId="0" applyFill="1" applyBorder="1" applyAlignment="1">
      <alignment horizontal="center"/>
    </xf>
    <xf numFmtId="0" fontId="0" fillId="0" borderId="67" xfId="0" applyFill="1" applyBorder="1" applyAlignment="1">
      <alignment horizontal="center"/>
    </xf>
    <xf numFmtId="0" fontId="0" fillId="0" borderId="46" xfId="0" applyFill="1" applyBorder="1" applyAlignment="1">
      <alignment horizontal="center"/>
    </xf>
    <xf numFmtId="0" fontId="6" fillId="0" borderId="2" xfId="0" applyFont="1" applyFill="1" applyBorder="1" applyAlignment="1">
      <alignment horizontal="center"/>
    </xf>
    <xf numFmtId="0" fontId="6" fillId="0" borderId="11" xfId="0" applyFont="1" applyFill="1" applyBorder="1" applyAlignment="1">
      <alignment horizontal="center"/>
    </xf>
    <xf numFmtId="0" fontId="6" fillId="0" borderId="53" xfId="0" applyFont="1" applyFill="1" applyBorder="1" applyAlignment="1">
      <alignment horizontal="center"/>
    </xf>
    <xf numFmtId="0" fontId="0" fillId="0" borderId="53" xfId="0" applyFill="1" applyBorder="1" applyAlignment="1">
      <alignment horizontal="center"/>
    </xf>
    <xf numFmtId="0" fontId="0" fillId="15" borderId="6" xfId="0" applyFill="1" applyBorder="1" applyAlignment="1">
      <alignment vertical="top" wrapText="1"/>
    </xf>
    <xf numFmtId="0" fontId="0" fillId="0" borderId="9" xfId="0" applyFill="1" applyBorder="1" applyAlignment="1">
      <alignment horizontal="center"/>
    </xf>
    <xf numFmtId="0" fontId="0" fillId="15" borderId="0" xfId="0" applyFill="1" applyAlignment="1" applyProtection="1">
      <alignment horizontal="left" vertical="top" wrapText="1"/>
    </xf>
    <xf numFmtId="0" fontId="0" fillId="0" borderId="2"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0"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5" fillId="13" borderId="6" xfId="0" applyFont="1" applyFill="1" applyBorder="1" applyAlignment="1">
      <alignment horizontal="left"/>
    </xf>
    <xf numFmtId="0" fontId="5" fillId="13" borderId="0" xfId="0" applyFont="1" applyFill="1" applyBorder="1" applyAlignment="1">
      <alignment horizontal="left"/>
    </xf>
    <xf numFmtId="0" fontId="5" fillId="13" borderId="22" xfId="0" applyFont="1" applyFill="1" applyBorder="1" applyAlignment="1">
      <alignment horizontal="left"/>
    </xf>
    <xf numFmtId="0" fontId="5" fillId="13" borderId="0" xfId="0" applyFont="1" applyFill="1" applyAlignment="1">
      <alignment horizontal="left"/>
    </xf>
    <xf numFmtId="0" fontId="0" fillId="15" borderId="0" xfId="0" applyFill="1" applyBorder="1" applyAlignment="1">
      <alignment vertical="top" wrapText="1"/>
    </xf>
    <xf numFmtId="0" fontId="5" fillId="13" borderId="6" xfId="0" applyFont="1" applyFill="1" applyBorder="1" applyAlignment="1">
      <alignment horizontal="right"/>
    </xf>
    <xf numFmtId="0" fontId="0" fillId="15" borderId="7" xfId="0" applyFill="1" applyBorder="1" applyAlignment="1" applyProtection="1">
      <alignment horizontal="center" vertical="top" wrapText="1"/>
    </xf>
    <xf numFmtId="0" fontId="0" fillId="15" borderId="29" xfId="0" applyFill="1" applyBorder="1" applyAlignment="1" applyProtection="1">
      <alignment horizontal="center" vertical="top" wrapText="1"/>
    </xf>
    <xf numFmtId="0" fontId="0" fillId="15" borderId="0" xfId="0" applyFill="1" applyBorder="1" applyAlignment="1" applyProtection="1">
      <alignment vertical="top" wrapText="1"/>
    </xf>
    <xf numFmtId="0" fontId="0" fillId="15" borderId="9" xfId="0" applyFill="1" applyBorder="1" applyAlignment="1" applyProtection="1">
      <alignment vertical="top" wrapText="1"/>
    </xf>
    <xf numFmtId="0" fontId="0" fillId="0" borderId="0" xfId="0" applyFill="1" applyBorder="1" applyAlignment="1">
      <alignment horizontal="center"/>
    </xf>
    <xf numFmtId="0" fontId="0" fillId="0" borderId="109" xfId="0" applyFill="1" applyBorder="1" applyAlignment="1">
      <alignment horizontal="center"/>
    </xf>
    <xf numFmtId="0" fontId="0" fillId="0" borderId="110" xfId="0" applyFill="1" applyBorder="1" applyAlignment="1">
      <alignment horizontal="center"/>
    </xf>
    <xf numFmtId="0" fontId="0" fillId="15" borderId="0" xfId="0" applyFill="1" applyBorder="1" applyAlignment="1">
      <alignment horizontal="left" vertical="top" wrapText="1"/>
    </xf>
    <xf numFmtId="0" fontId="0" fillId="0" borderId="0" xfId="0" applyBorder="1" applyAlignment="1">
      <alignment horizontal="left" wrapText="1"/>
    </xf>
    <xf numFmtId="0" fontId="0" fillId="38" borderId="0" xfId="0" applyFill="1" applyBorder="1" applyAlignment="1">
      <alignment horizontal="center" vertical="center" wrapText="1"/>
    </xf>
    <xf numFmtId="0" fontId="0" fillId="38" borderId="107" xfId="0" applyFill="1" applyBorder="1" applyAlignment="1">
      <alignment horizontal="center" vertical="center" wrapText="1"/>
    </xf>
    <xf numFmtId="168" fontId="0" fillId="39" borderId="0" xfId="0" applyNumberFormat="1" applyFill="1" applyBorder="1" applyAlignment="1">
      <alignment horizontal="center" vertical="center" wrapText="1"/>
    </xf>
    <xf numFmtId="168" fontId="0" fillId="39" borderId="107" xfId="0" applyNumberFormat="1" applyFill="1" applyBorder="1" applyAlignment="1">
      <alignment horizontal="center" vertical="center" wrapText="1"/>
    </xf>
    <xf numFmtId="168" fontId="3" fillId="39" borderId="0" xfId="0" applyNumberFormat="1" applyFont="1" applyFill="1" applyBorder="1" applyAlignment="1">
      <alignment horizontal="center" vertical="center" wrapText="1"/>
    </xf>
    <xf numFmtId="0" fontId="3" fillId="38" borderId="0" xfId="0" applyFont="1" applyFill="1" applyBorder="1" applyAlignment="1">
      <alignment horizontal="center" vertical="center" wrapText="1"/>
    </xf>
  </cellXfs>
  <cellStyles count="4">
    <cellStyle name="Lien hypertexte" xfId="1" builtinId="8"/>
    <cellStyle name="Normal" xfId="0" builtinId="0"/>
    <cellStyle name="Normal 2" xfId="3"/>
    <cellStyle name="Pourcentage" xfId="2" builtinId="5"/>
  </cellStyles>
  <dxfs count="136">
    <dxf>
      <fill>
        <patternFill patternType="lightUp">
          <fgColor indexed="51"/>
        </patternFill>
      </fill>
    </dxf>
    <dxf>
      <fill>
        <patternFill patternType="lightUp">
          <fgColor indexed="51"/>
        </patternFill>
      </fill>
    </dxf>
    <dxf>
      <font>
        <condense val="0"/>
        <extend val="0"/>
        <color indexed="9"/>
      </font>
    </dxf>
    <dxf>
      <fill>
        <patternFill patternType="lightUp">
          <fgColor indexed="51"/>
        </patternFill>
      </fill>
    </dxf>
    <dxf>
      <font>
        <condense val="0"/>
        <extend val="0"/>
        <color indexed="9"/>
      </font>
    </dxf>
    <dxf>
      <fill>
        <patternFill patternType="lightUp">
          <fgColor indexed="51"/>
        </patternFill>
      </fill>
    </dxf>
    <dxf>
      <font>
        <condense val="0"/>
        <extend val="0"/>
        <color indexed="9"/>
      </font>
    </dxf>
    <dxf>
      <fill>
        <patternFill patternType="lightUp">
          <fgColor indexed="51"/>
          <bgColor indexed="41"/>
        </patternFill>
      </fill>
    </dxf>
    <dxf>
      <fill>
        <patternFill patternType="lightUp">
          <fgColor indexed="51"/>
          <bgColor indexed="46"/>
        </patternFill>
      </fill>
    </dxf>
    <dxf>
      <fill>
        <patternFill patternType="lightUp">
          <fgColor indexed="51"/>
          <bgColor indexed="65"/>
        </patternFill>
      </fill>
    </dxf>
    <dxf>
      <fill>
        <patternFill>
          <bgColor indexed="13"/>
        </patternFill>
      </fill>
    </dxf>
    <dxf>
      <fill>
        <patternFill patternType="lightUp">
          <fgColor indexed="51"/>
          <bgColor indexed="65"/>
        </patternFill>
      </fill>
    </dxf>
    <dxf>
      <fill>
        <patternFill patternType="lightUp">
          <fgColor indexed="51"/>
          <bgColor indexed="65"/>
        </patternFill>
      </fill>
    </dxf>
    <dxf>
      <fill>
        <patternFill>
          <bgColor indexed="13"/>
        </patternFill>
      </fill>
    </dxf>
    <dxf>
      <font>
        <color rgb="FFFF0000"/>
      </font>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C000"/>
        </patternFill>
      </fill>
    </dxf>
    <dxf>
      <font>
        <color rgb="FFFF0000"/>
      </font>
      <fill>
        <patternFill>
          <bgColor rgb="FFFFFF00"/>
        </patternFill>
      </fill>
    </dxf>
    <dxf>
      <font>
        <color theme="0"/>
      </font>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rgb="FFFF0000"/>
      </font>
      <fill>
        <patternFill>
          <bgColor rgb="FFFFFF00"/>
        </patternFill>
      </fill>
    </dxf>
    <dxf>
      <fill>
        <patternFill>
          <bgColor rgb="FFFF0000"/>
        </patternFill>
      </fill>
    </dxf>
    <dxf>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rgb="FFFFC0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0"/>
      </font>
      <fill>
        <patternFill>
          <bgColor rgb="FFFF0000"/>
        </patternFill>
      </fill>
    </dxf>
    <dxf>
      <font>
        <color rgb="FFFF0000"/>
      </font>
      <fill>
        <patternFill>
          <bgColor rgb="FFFFFF00"/>
        </patternFill>
      </fill>
    </dxf>
    <dxf>
      <font>
        <color rgb="FFFF0000"/>
      </font>
      <fill>
        <patternFill>
          <bgColor rgb="FFFFFF00"/>
        </patternFill>
      </fill>
    </dxf>
    <dxf>
      <font>
        <b val="0"/>
        <i val="0"/>
        <color rgb="FF00FFFF"/>
      </font>
    </dxf>
    <dxf>
      <fill>
        <patternFill patternType="lightGray"/>
      </fill>
    </dxf>
    <dxf>
      <fill>
        <patternFill patternType="lightGray"/>
      </fill>
    </dxf>
    <dxf>
      <fill>
        <patternFill patternType="lightGray"/>
      </fill>
    </dxf>
    <dxf>
      <fill>
        <patternFill patternType="solid">
          <bgColor indexed="9"/>
        </patternFill>
      </fill>
      <border>
        <left style="thin">
          <color indexed="64"/>
        </left>
        <right style="thin">
          <color indexed="64"/>
        </right>
        <top style="thin">
          <color indexed="64"/>
        </top>
        <bottom style="thin">
          <color indexed="64"/>
        </bottom>
      </border>
    </dxf>
    <dxf>
      <fill>
        <patternFill patternType="solid">
          <bgColor indexed="9"/>
        </patternFill>
      </fill>
      <border>
        <left style="thin">
          <color indexed="64"/>
        </left>
        <right style="thin">
          <color indexed="64"/>
        </right>
        <top style="thin">
          <color indexed="64"/>
        </top>
        <bottom style="thin">
          <color indexed="64"/>
        </bottom>
      </border>
    </dxf>
    <dxf>
      <fill>
        <patternFill patternType="solid">
          <bgColor indexed="9"/>
        </patternFill>
      </fill>
      <border>
        <left style="thin">
          <color indexed="64"/>
        </left>
        <right style="thin">
          <color indexed="64"/>
        </right>
        <top style="thin">
          <color indexed="64"/>
        </top>
        <bottom style="thin">
          <color indexed="64"/>
        </bottom>
      </border>
    </dxf>
    <dxf>
      <font>
        <color rgb="FFFF0000"/>
      </font>
    </dxf>
    <dxf>
      <font>
        <b/>
        <i val="0"/>
        <color rgb="FF00FFFF"/>
      </font>
    </dxf>
    <dxf>
      <font>
        <condense val="0"/>
        <extend val="0"/>
        <color indexed="15"/>
      </font>
    </dxf>
    <dxf>
      <fill>
        <patternFill patternType="lightGray"/>
      </fill>
    </dxf>
    <dxf>
      <font>
        <condense val="0"/>
        <extend val="0"/>
        <color indexed="15"/>
      </font>
    </dxf>
    <dxf>
      <font>
        <condense val="0"/>
        <extend val="0"/>
        <color indexed="15"/>
      </font>
    </dxf>
    <dxf>
      <font>
        <color rgb="FFFF0000"/>
      </font>
    </dxf>
    <dxf>
      <font>
        <color rgb="FFFF0000"/>
      </font>
    </dxf>
    <dxf>
      <font>
        <color rgb="FFFF0000"/>
      </font>
    </dxf>
    <dxf>
      <font>
        <condense val="0"/>
        <extend val="0"/>
        <color indexed="15"/>
      </font>
    </dxf>
    <dxf>
      <fill>
        <patternFill>
          <bgColor indexed="31"/>
        </patternFill>
      </fill>
    </dxf>
    <dxf>
      <fill>
        <patternFill>
          <bgColor indexed="31"/>
        </patternFill>
      </fill>
    </dxf>
    <dxf>
      <font>
        <condense val="0"/>
        <extend val="0"/>
        <color indexed="15"/>
      </font>
    </dxf>
    <dxf>
      <fill>
        <patternFill>
          <bgColor indexed="31"/>
        </patternFill>
      </fill>
    </dxf>
    <dxf>
      <fill>
        <patternFill>
          <bgColor indexed="31"/>
        </patternFill>
      </fill>
    </dxf>
    <dxf>
      <font>
        <color rgb="FFFF0000"/>
      </font>
    </dxf>
    <dxf>
      <font>
        <color rgb="FFFF0000"/>
      </font>
    </dxf>
    <dxf>
      <font>
        <color rgb="FFFF0000"/>
      </font>
    </dxf>
    <dxf>
      <fill>
        <patternFill patternType="lightGray"/>
      </fill>
    </dxf>
    <dxf>
      <fill>
        <patternFill patternType="lightGray"/>
      </fill>
    </dxf>
    <dxf>
      <font>
        <condense val="0"/>
        <extend val="0"/>
        <color indexed="9"/>
      </font>
    </dxf>
    <dxf>
      <font>
        <color rgb="FFFF0000"/>
      </font>
    </dxf>
    <dxf>
      <font>
        <color rgb="FFFF0000"/>
      </font>
    </dxf>
    <dxf>
      <font>
        <color rgb="FFFF0000"/>
      </font>
    </dxf>
    <dxf>
      <fill>
        <patternFill patternType="mediumGray"/>
      </fill>
    </dxf>
    <dxf>
      <font>
        <b/>
        <i val="0"/>
        <condense val="0"/>
        <extend val="0"/>
        <color indexed="10"/>
      </font>
    </dxf>
    <dxf>
      <font>
        <b/>
        <i val="0"/>
        <condense val="0"/>
        <extend val="0"/>
        <color indexed="10"/>
      </font>
    </dxf>
    <dxf>
      <fill>
        <patternFill patternType="mediumGray"/>
      </fill>
    </dxf>
    <dxf>
      <fill>
        <patternFill patternType="mediumGray"/>
      </fill>
    </dxf>
    <dxf>
      <fill>
        <patternFill patternType="mediumGray"/>
      </fill>
    </dxf>
    <dxf>
      <fill>
        <patternFill patternType="mediumGray"/>
      </fill>
    </dxf>
    <dxf>
      <fill>
        <patternFill patternType="mediumGray"/>
      </fill>
    </dxf>
    <dxf>
      <font>
        <b/>
        <i val="0"/>
        <condense val="0"/>
        <extend val="0"/>
        <color indexed="10"/>
      </font>
    </dxf>
    <dxf>
      <fill>
        <patternFill patternType="mediumGray"/>
      </fill>
    </dxf>
    <dxf>
      <fill>
        <patternFill patternType="mediumGray"/>
      </fill>
    </dxf>
    <dxf>
      <fill>
        <patternFill patternType="mediumGray"/>
      </fill>
    </dxf>
    <dxf>
      <fill>
        <patternFill patternType="mediumGray"/>
      </fill>
    </dxf>
    <dxf>
      <fill>
        <patternFill patternType="mediumGray"/>
      </fill>
    </dxf>
    <dxf>
      <font>
        <condense val="0"/>
        <extend val="0"/>
        <color indexed="15"/>
      </font>
    </dxf>
    <dxf>
      <font>
        <condense val="0"/>
        <extend val="0"/>
        <color indexed="15"/>
      </font>
    </dxf>
    <dxf>
      <font>
        <condense val="0"/>
        <extend val="0"/>
        <color indexed="15"/>
      </font>
    </dxf>
    <dxf>
      <font>
        <condense val="0"/>
        <extend val="0"/>
        <color indexed="15"/>
      </font>
    </dxf>
    <dxf>
      <font>
        <condense val="0"/>
        <extend val="0"/>
        <color indexed="15"/>
      </font>
    </dxf>
    <dxf>
      <font>
        <condense val="0"/>
        <extend val="0"/>
        <color indexed="15"/>
      </font>
    </dxf>
    <dxf>
      <font>
        <condense val="0"/>
        <extend val="0"/>
        <color indexed="15"/>
      </font>
    </dxf>
    <dxf>
      <fill>
        <patternFill patternType="lightGray">
          <bgColor indexed="9"/>
        </patternFill>
      </fill>
      <border>
        <left/>
        <right/>
        <top/>
        <bottom/>
      </border>
    </dxf>
    <dxf>
      <font>
        <condense val="0"/>
        <extend val="0"/>
        <color indexed="47"/>
      </font>
      <fill>
        <patternFill patternType="lightGray"/>
      </fill>
    </dxf>
    <dxf>
      <fill>
        <patternFill patternType="gray125">
          <fgColor auto="1"/>
        </patternFill>
      </fill>
    </dxf>
    <dxf>
      <fill>
        <patternFill patternType="lightGray"/>
      </fill>
    </dxf>
    <dxf>
      <font>
        <color theme="0"/>
      </font>
      <fill>
        <patternFill patternType="lightGray">
          <fgColor auto="1"/>
        </patternFill>
      </fill>
    </dxf>
    <dxf>
      <font>
        <color theme="0"/>
      </font>
      <fill>
        <patternFill patternType="lightGray">
          <fgColor auto="1"/>
        </patternFill>
      </fill>
    </dxf>
    <dxf>
      <font>
        <color theme="9" tint="0.59996337778862885"/>
      </font>
      <fill>
        <patternFill patternType="lightGray"/>
      </fill>
    </dxf>
    <dxf>
      <font>
        <color auto="1"/>
      </font>
      <fill>
        <patternFill patternType="lightGray"/>
      </fill>
    </dxf>
    <dxf>
      <font>
        <color theme="9" tint="0.59996337778862885"/>
      </font>
      <fill>
        <patternFill patternType="lightGray"/>
      </fill>
    </dxf>
    <dxf>
      <font>
        <color theme="9" tint="0.59996337778862885"/>
      </font>
      <fill>
        <patternFill patternType="lightGray"/>
      </fill>
    </dxf>
    <dxf>
      <font>
        <condense val="0"/>
        <extend val="0"/>
        <color indexed="47"/>
      </font>
      <fill>
        <patternFill patternType="lightGray">
          <bgColor indexed="47"/>
        </patternFill>
      </fill>
    </dxf>
    <dxf>
      <fill>
        <patternFill patternType="lightGray">
          <bgColor indexed="9"/>
        </patternFill>
      </fill>
      <border>
        <left/>
        <right/>
        <top/>
        <bottom/>
      </border>
    </dxf>
    <dxf>
      <font>
        <condense val="0"/>
        <extend val="0"/>
        <color indexed="47"/>
      </font>
      <fill>
        <patternFill patternType="lightGray">
          <bgColor indexed="47"/>
        </patternFill>
      </fill>
      <border>
        <left/>
        <right/>
        <top/>
        <bottom/>
      </border>
    </dxf>
    <dxf>
      <fill>
        <patternFill patternType="lightGray">
          <bgColor indexed="9"/>
        </patternFill>
      </fill>
      <border>
        <left/>
        <right/>
        <top/>
        <bottom/>
      </border>
    </dxf>
    <dxf>
      <fill>
        <patternFill patternType="lightGray">
          <bgColor indexed="47"/>
        </patternFill>
      </fill>
      <border>
        <left/>
        <right/>
        <top/>
        <bottom/>
      </border>
    </dxf>
    <dxf>
      <font>
        <condense val="0"/>
        <extend val="0"/>
        <color indexed="47"/>
      </font>
      <fill>
        <patternFill patternType="gray125">
          <bgColor indexed="47"/>
        </patternFill>
      </fill>
      <border>
        <left style="thin">
          <color auto="1"/>
        </left>
        <right/>
        <top/>
        <bottom/>
      </border>
    </dxf>
    <dxf>
      <fill>
        <patternFill patternType="lightGray">
          <bgColor indexed="47"/>
        </patternFill>
      </fill>
      <border>
        <left style="thin">
          <color auto="1"/>
        </left>
        <right/>
        <top/>
        <bottom/>
      </border>
    </dxf>
    <dxf>
      <font>
        <condense val="0"/>
        <extend val="0"/>
        <color indexed="47"/>
      </font>
      <fill>
        <patternFill patternType="lightGray">
          <bgColor indexed="47"/>
        </patternFill>
      </fill>
      <border>
        <left style="thin">
          <color auto="1"/>
        </left>
        <right/>
        <top/>
        <bottom/>
      </border>
    </dxf>
    <dxf>
      <font>
        <condense val="0"/>
        <extend val="0"/>
        <color indexed="47"/>
      </font>
      <fill>
        <patternFill patternType="lightGray">
          <bgColor indexed="47"/>
        </patternFill>
      </fill>
    </dxf>
    <dxf>
      <fill>
        <patternFill patternType="lightGray">
          <bgColor indexed="47"/>
        </patternFill>
      </fill>
    </dxf>
    <dxf>
      <fill>
        <patternFill patternType="lightGray">
          <bgColor indexed="47"/>
        </patternFill>
      </fill>
    </dxf>
    <dxf>
      <font>
        <condense val="0"/>
        <extend val="0"/>
        <color indexed="47"/>
      </font>
      <fill>
        <patternFill patternType="lightGray">
          <bgColor indexed="47"/>
        </patternFill>
      </fill>
    </dxf>
    <dxf>
      <font>
        <condense val="0"/>
        <extend val="0"/>
        <color indexed="47"/>
      </font>
      <fill>
        <patternFill patternType="gray125">
          <bgColor indexed="47"/>
        </patternFill>
      </fill>
    </dxf>
    <dxf>
      <font>
        <condense val="0"/>
        <extend val="0"/>
        <color indexed="47"/>
      </font>
      <fill>
        <patternFill patternType="lightGray">
          <bgColor indexed="47"/>
        </patternFill>
      </fill>
    </dxf>
    <dxf>
      <fill>
        <patternFill patternType="lightGray">
          <bgColor indexed="47"/>
        </patternFill>
      </fill>
    </dxf>
    <dxf>
      <font>
        <condense val="0"/>
        <extend val="0"/>
        <color indexed="55"/>
      </font>
      <fill>
        <patternFill patternType="lightGray">
          <bgColor indexed="47"/>
        </patternFill>
      </fill>
    </dxf>
    <dxf>
      <fill>
        <patternFill patternType="mediumGray">
          <bgColor indexed="9"/>
        </patternFill>
      </fill>
      <border>
        <left/>
        <right/>
        <top/>
        <bottom/>
      </border>
    </dxf>
    <dxf>
      <fill>
        <patternFill patternType="lightGray">
          <bgColor indexed="9"/>
        </patternFill>
      </fill>
      <border>
        <left/>
        <right/>
        <top/>
        <bottom/>
      </border>
    </dxf>
    <dxf>
      <font>
        <condense val="0"/>
        <extend val="0"/>
        <color indexed="47"/>
      </font>
      <fill>
        <patternFill patternType="lightGray"/>
      </fill>
    </dxf>
    <dxf>
      <font>
        <condense val="0"/>
        <extend val="0"/>
        <color indexed="47"/>
      </font>
      <fill>
        <patternFill patternType="lightGray"/>
      </fill>
    </dxf>
    <dxf>
      <font>
        <color auto="1"/>
      </font>
      <fill>
        <patternFill patternType="lightGray"/>
      </fill>
    </dxf>
    <dxf>
      <font>
        <color auto="1"/>
      </font>
      <fill>
        <patternFill patternType="lightGray"/>
      </fill>
    </dxf>
  </dxfs>
  <tableStyles count="0" defaultTableStyle="TableStyleMedium2" defaultPivotStyle="PivotStyleLight16"/>
  <colors>
    <mruColors>
      <color rgb="FFFFFF99"/>
      <color rgb="FF00FF00"/>
      <color rgb="FF4F81BD"/>
      <color rgb="FF0000FF"/>
      <color rgb="FF99FF99"/>
      <color rgb="FFCCFFCC"/>
      <color rgb="FF99FFCC"/>
      <color rgb="FFFFFFCC"/>
      <color rgb="FFFFCC0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06/relationships/vbaProject" Target="vbaProject.bin"/></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6.9198878549272244E-2"/>
                  <c:y val="0.20128440366972478"/>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Saisies_Exploitation!$AS$39:$AS$45</c:f>
            </c:numRef>
          </c:xVal>
          <c:yVal>
            <c:numRef>
              <c:f>Saisies_Exploitation!$AT$39:$AT$45</c:f>
            </c:numRef>
          </c:yVal>
          <c:smooth val="0"/>
          <c:extLst xmlns:c16r2="http://schemas.microsoft.com/office/drawing/2015/06/chart">
            <c:ext xmlns:c16="http://schemas.microsoft.com/office/drawing/2014/chart" uri="{C3380CC4-5D6E-409C-BE32-E72D297353CC}">
              <c16:uniqueId val="{00000000-638B-4DF4-B127-94D87EF22887}"/>
            </c:ext>
          </c:extLst>
        </c:ser>
        <c:ser>
          <c:idx val="1"/>
          <c:order val="1"/>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25"/>
                  <c:y val="-7.3944954128440363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Saisies_Exploitation!$AR$39:$AR$45</c:f>
            </c:numRef>
          </c:xVal>
          <c:yVal>
            <c:numRef>
              <c:f>Saisies_Exploitation!$AT$39:$AT$45</c:f>
            </c:numRef>
          </c:yVal>
          <c:smooth val="0"/>
          <c:extLst xmlns:c16r2="http://schemas.microsoft.com/office/drawing/2015/06/chart">
            <c:ext xmlns:c16="http://schemas.microsoft.com/office/drawing/2014/chart" uri="{C3380CC4-5D6E-409C-BE32-E72D297353CC}">
              <c16:uniqueId val="{00000001-638B-4DF4-B127-94D87EF22887}"/>
            </c:ext>
          </c:extLst>
        </c:ser>
        <c:dLbls>
          <c:showLegendKey val="0"/>
          <c:showVal val="0"/>
          <c:showCatName val="0"/>
          <c:showSerName val="0"/>
          <c:showPercent val="0"/>
          <c:showBubbleSize val="0"/>
        </c:dLbls>
        <c:axId val="352838360"/>
        <c:axId val="350496104"/>
      </c:scatterChart>
      <c:valAx>
        <c:axId val="3528383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0496104"/>
        <c:crosses val="autoZero"/>
        <c:crossBetween val="midCat"/>
      </c:valAx>
      <c:valAx>
        <c:axId val="350496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283836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Saisie_Bilan!$AI$46</c:f>
              <c:strCache>
                <c:ptCount val="1"/>
                <c:pt idx="0">
                  <c:v>P2O5</c:v>
                </c:pt>
              </c:strCache>
            </c:strRef>
          </c:tx>
          <c:spPr>
            <a:ln w="28575"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1"/>
            <c:dispEq val="1"/>
            <c:trendlineLbl>
              <c:layout>
                <c:manualLayout>
                  <c:x val="-0.10446784776902887"/>
                  <c:y val="-4.1666666666666669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trendlineLbl>
          </c:trendline>
          <c:xVal>
            <c:numRef>
              <c:f>Saisie_Bilan!$AH$47:$AH$49</c:f>
            </c:numRef>
          </c:xVal>
          <c:yVal>
            <c:numRef>
              <c:f>Saisie_Bilan!$AI$47:$AI$49</c:f>
            </c:numRef>
          </c:yVal>
          <c:smooth val="0"/>
          <c:extLst xmlns:c16r2="http://schemas.microsoft.com/office/drawing/2015/06/chart">
            <c:ext xmlns:c16="http://schemas.microsoft.com/office/drawing/2014/chart" uri="{C3380CC4-5D6E-409C-BE32-E72D297353CC}">
              <c16:uniqueId val="{00000000-2B78-492F-A8E8-47D092ED3101}"/>
            </c:ext>
          </c:extLst>
        </c:ser>
        <c:ser>
          <c:idx val="1"/>
          <c:order val="1"/>
          <c:tx>
            <c:strRef>
              <c:f>Saisie_Bilan!$AJ$46</c:f>
              <c:strCache>
                <c:ptCount val="1"/>
                <c:pt idx="0">
                  <c:v>K2O</c:v>
                </c:pt>
              </c:strCache>
            </c:strRef>
          </c:tx>
          <c:spPr>
            <a:ln w="28575"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ly"/>
            <c:order val="2"/>
            <c:dispRSqr val="1"/>
            <c:dispEq val="1"/>
            <c:trendlineLbl>
              <c:layout>
                <c:manualLayout>
                  <c:x val="4.6905193857893657E-2"/>
                  <c:y val="0.15440747076686315"/>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rgbClr val="C00000"/>
                      </a:solidFill>
                      <a:latin typeface="+mn-lt"/>
                      <a:ea typeface="+mn-ea"/>
                      <a:cs typeface="+mn-cs"/>
                    </a:defRPr>
                  </a:pPr>
                  <a:endParaRPr lang="en-US"/>
                </a:p>
              </c:txPr>
            </c:trendlineLbl>
          </c:trendline>
          <c:xVal>
            <c:numRef>
              <c:f>Saisie_Bilan!$AH$47:$AH$49</c:f>
            </c:numRef>
          </c:xVal>
          <c:yVal>
            <c:numRef>
              <c:f>Saisie_Bilan!$AJ$47:$AJ$49</c:f>
            </c:numRef>
          </c:yVal>
          <c:smooth val="0"/>
          <c:extLst xmlns:c16r2="http://schemas.microsoft.com/office/drawing/2015/06/chart">
            <c:ext xmlns:c16="http://schemas.microsoft.com/office/drawing/2014/chart" uri="{C3380CC4-5D6E-409C-BE32-E72D297353CC}">
              <c16:uniqueId val="{00000001-2B78-492F-A8E8-47D092ED3101}"/>
            </c:ext>
          </c:extLst>
        </c:ser>
        <c:dLbls>
          <c:showLegendKey val="0"/>
          <c:showVal val="0"/>
          <c:showCatName val="0"/>
          <c:showSerName val="0"/>
          <c:showPercent val="0"/>
          <c:showBubbleSize val="0"/>
        </c:dLbls>
        <c:axId val="375848528"/>
        <c:axId val="375443800"/>
      </c:scatterChart>
      <c:valAx>
        <c:axId val="375848528"/>
        <c:scaling>
          <c:orientation val="minMax"/>
          <c:min val="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5443800"/>
        <c:crosses val="autoZero"/>
        <c:crossBetween val="midCat"/>
      </c:valAx>
      <c:valAx>
        <c:axId val="3754438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58485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N Vaches allaitantes</a:t>
            </a:r>
          </a:p>
        </c:rich>
      </c:tx>
      <c:layout>
        <c:manualLayout>
          <c:xMode val="edge"/>
          <c:yMode val="edge"/>
          <c:x val="0.16250019836449997"/>
          <c:y val="2.1739130434782608E-2"/>
        </c:manualLayout>
      </c:layout>
      <c:overlay val="0"/>
      <c:spPr>
        <a:noFill/>
        <a:ln w="25400">
          <a:noFill/>
        </a:ln>
      </c:spPr>
    </c:title>
    <c:autoTitleDeleted val="0"/>
    <c:plotArea>
      <c:layout>
        <c:manualLayout>
          <c:layoutTarget val="inner"/>
          <c:xMode val="edge"/>
          <c:yMode val="edge"/>
          <c:x val="0.12000014648455382"/>
          <c:y val="0.11304347826086956"/>
          <c:w val="0.53750065612873066"/>
          <c:h val="0.73478260869565215"/>
        </c:manualLayout>
      </c:layout>
      <c:scatterChart>
        <c:scatterStyle val="lineMarker"/>
        <c:varyColors val="0"/>
        <c:ser>
          <c:idx val="0"/>
          <c:order val="0"/>
          <c:tx>
            <c:strRef>
              <c:f>Allaitant!$F$29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Allaitant!$D$30:$D$33</c:f>
              <c:numCache>
                <c:formatCode>General</c:formatCode>
                <c:ptCount val="4"/>
                <c:pt idx="0">
                  <c:v>5</c:v>
                </c:pt>
                <c:pt idx="1">
                  <c:v>6</c:v>
                </c:pt>
                <c:pt idx="2">
                  <c:v>7</c:v>
                </c:pt>
                <c:pt idx="3">
                  <c:v>8</c:v>
                </c:pt>
              </c:numCache>
            </c:numRef>
          </c:xVal>
          <c:yVal>
            <c:numRef>
              <c:f>Allaitant!$F$30:$F$33</c:f>
              <c:numCache>
                <c:formatCode>0</c:formatCode>
                <c:ptCount val="4"/>
                <c:pt idx="0">
                  <c:v>35</c:v>
                </c:pt>
                <c:pt idx="1">
                  <c:v>42</c:v>
                </c:pt>
                <c:pt idx="2">
                  <c:v>50</c:v>
                </c:pt>
                <c:pt idx="3">
                  <c:v>56</c:v>
                </c:pt>
              </c:numCache>
            </c:numRef>
          </c:yVal>
          <c:smooth val="0"/>
          <c:extLst xmlns:c16r2="http://schemas.microsoft.com/office/drawing/2015/06/chart">
            <c:ext xmlns:c16="http://schemas.microsoft.com/office/drawing/2014/chart" uri="{C3380CC4-5D6E-409C-BE32-E72D297353CC}">
              <c16:uniqueId val="{00000000-3F59-4589-B1D3-1422A4A0954D}"/>
            </c:ext>
          </c:extLst>
        </c:ser>
        <c:ser>
          <c:idx val="1"/>
          <c:order val="1"/>
          <c:tx>
            <c:strRef>
              <c:f>Allaitant!$G$29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Allaitant!$D$30:$D$33</c:f>
              <c:numCache>
                <c:formatCode>General</c:formatCode>
                <c:ptCount val="4"/>
                <c:pt idx="0">
                  <c:v>5</c:v>
                </c:pt>
                <c:pt idx="1">
                  <c:v>6</c:v>
                </c:pt>
                <c:pt idx="2">
                  <c:v>7</c:v>
                </c:pt>
                <c:pt idx="3">
                  <c:v>8</c:v>
                </c:pt>
              </c:numCache>
            </c:numRef>
          </c:xVal>
          <c:yVal>
            <c:numRef>
              <c:f>Allaitant!$G$30:$G$33</c:f>
              <c:numCache>
                <c:formatCode>0</c:formatCode>
                <c:ptCount val="4"/>
                <c:pt idx="0">
                  <c:v>51</c:v>
                </c:pt>
                <c:pt idx="1">
                  <c:v>57</c:v>
                </c:pt>
                <c:pt idx="2">
                  <c:v>66</c:v>
                </c:pt>
                <c:pt idx="3">
                  <c:v>71</c:v>
                </c:pt>
              </c:numCache>
            </c:numRef>
          </c:yVal>
          <c:smooth val="0"/>
          <c:extLst xmlns:c16r2="http://schemas.microsoft.com/office/drawing/2015/06/chart">
            <c:ext xmlns:c16="http://schemas.microsoft.com/office/drawing/2014/chart" uri="{C3380CC4-5D6E-409C-BE32-E72D297353CC}">
              <c16:uniqueId val="{00000001-3F59-4589-B1D3-1422A4A0954D}"/>
            </c:ext>
          </c:extLst>
        </c:ser>
        <c:ser>
          <c:idx val="2"/>
          <c:order val="2"/>
          <c:tx>
            <c:strRef>
              <c:f>Allaitant!$O$29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Allaitant!$D$30:$D$33</c:f>
              <c:numCache>
                <c:formatCode>General</c:formatCode>
                <c:ptCount val="4"/>
                <c:pt idx="0">
                  <c:v>5</c:v>
                </c:pt>
                <c:pt idx="1">
                  <c:v>6</c:v>
                </c:pt>
                <c:pt idx="2">
                  <c:v>7</c:v>
                </c:pt>
                <c:pt idx="3">
                  <c:v>8</c:v>
                </c:pt>
              </c:numCache>
            </c:numRef>
          </c:xVal>
          <c:yVal>
            <c:numRef>
              <c:f>Allaitant!$O$30:$O$33</c:f>
              <c:numCache>
                <c:formatCode>0</c:formatCode>
                <c:ptCount val="4"/>
                <c:pt idx="0">
                  <c:v>43</c:v>
                </c:pt>
                <c:pt idx="1">
                  <c:v>52</c:v>
                </c:pt>
                <c:pt idx="2">
                  <c:v>59</c:v>
                </c:pt>
                <c:pt idx="3">
                  <c:v>68</c:v>
                </c:pt>
              </c:numCache>
            </c:numRef>
          </c:yVal>
          <c:smooth val="0"/>
          <c:extLst xmlns:c16r2="http://schemas.microsoft.com/office/drawing/2015/06/chart">
            <c:ext xmlns:c16="http://schemas.microsoft.com/office/drawing/2014/chart" uri="{C3380CC4-5D6E-409C-BE32-E72D297353CC}">
              <c16:uniqueId val="{00000002-3F59-4589-B1D3-1422A4A0954D}"/>
            </c:ext>
          </c:extLst>
        </c:ser>
        <c:ser>
          <c:idx val="3"/>
          <c:order val="3"/>
          <c:tx>
            <c:strRef>
              <c:f>Allaitant!$P$29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Allaitant!$D$30:$D$33</c:f>
              <c:numCache>
                <c:formatCode>General</c:formatCode>
                <c:ptCount val="4"/>
                <c:pt idx="0">
                  <c:v>5</c:v>
                </c:pt>
                <c:pt idx="1">
                  <c:v>6</c:v>
                </c:pt>
                <c:pt idx="2">
                  <c:v>7</c:v>
                </c:pt>
                <c:pt idx="3">
                  <c:v>8</c:v>
                </c:pt>
              </c:numCache>
            </c:numRef>
          </c:xVal>
          <c:yVal>
            <c:numRef>
              <c:f>Allaitant!$P$30:$P$33</c:f>
              <c:numCache>
                <c:formatCode>0</c:formatCode>
                <c:ptCount val="4"/>
                <c:pt idx="0">
                  <c:v>65</c:v>
                </c:pt>
                <c:pt idx="1">
                  <c:v>69</c:v>
                </c:pt>
                <c:pt idx="2">
                  <c:v>76</c:v>
                </c:pt>
                <c:pt idx="3">
                  <c:v>82</c:v>
                </c:pt>
              </c:numCache>
            </c:numRef>
          </c:yVal>
          <c:smooth val="0"/>
          <c:extLst xmlns:c16r2="http://schemas.microsoft.com/office/drawing/2015/06/chart">
            <c:ext xmlns:c16="http://schemas.microsoft.com/office/drawing/2014/chart" uri="{C3380CC4-5D6E-409C-BE32-E72D297353CC}">
              <c16:uniqueId val="{00000003-3F59-4589-B1D3-1422A4A0954D}"/>
            </c:ext>
          </c:extLst>
        </c:ser>
        <c:ser>
          <c:idx val="4"/>
          <c:order val="4"/>
          <c:tx>
            <c:strRef>
              <c:f>Allaitant!$X$29</c:f>
              <c:strCache>
                <c:ptCount val="1"/>
                <c:pt idx="0">
                  <c:v>Non maitrisable</c:v>
                </c:pt>
              </c:strCache>
            </c:strRef>
          </c:tx>
          <c:spPr>
            <a:ln w="28575">
              <a:noFill/>
            </a:ln>
          </c:spPr>
          <c:marker>
            <c:symbol val="circle"/>
            <c:size val="5"/>
            <c:spPr>
              <a:noFill/>
              <a:ln>
                <a:solidFill>
                  <a:srgbClr val="000000"/>
                </a:solidFill>
                <a:prstDash val="solid"/>
              </a:ln>
            </c:spPr>
          </c:marker>
          <c:xVal>
            <c:numRef>
              <c:f>Allaitant!$D$30:$D$33</c:f>
              <c:numCache>
                <c:formatCode>General</c:formatCode>
                <c:ptCount val="4"/>
                <c:pt idx="0">
                  <c:v>5</c:v>
                </c:pt>
                <c:pt idx="1">
                  <c:v>6</c:v>
                </c:pt>
                <c:pt idx="2">
                  <c:v>7</c:v>
                </c:pt>
                <c:pt idx="3">
                  <c:v>8</c:v>
                </c:pt>
              </c:numCache>
            </c:numRef>
          </c:xVal>
          <c:yVal>
            <c:numRef>
              <c:f>Allaitant!$X$30:$X$33</c:f>
              <c:numCache>
                <c:formatCode>0</c:formatCode>
                <c:ptCount val="4"/>
                <c:pt idx="0">
                  <c:v>50</c:v>
                </c:pt>
                <c:pt idx="1">
                  <c:v>60</c:v>
                </c:pt>
                <c:pt idx="2">
                  <c:v>70</c:v>
                </c:pt>
                <c:pt idx="3">
                  <c:v>80</c:v>
                </c:pt>
              </c:numCache>
            </c:numRef>
          </c:yVal>
          <c:smooth val="0"/>
          <c:extLst xmlns:c16r2="http://schemas.microsoft.com/office/drawing/2015/06/chart">
            <c:ext xmlns:c16="http://schemas.microsoft.com/office/drawing/2014/chart" uri="{C3380CC4-5D6E-409C-BE32-E72D297353CC}">
              <c16:uniqueId val="{00000004-3F59-4589-B1D3-1422A4A0954D}"/>
            </c:ext>
          </c:extLst>
        </c:ser>
        <c:ser>
          <c:idx val="5"/>
          <c:order val="5"/>
          <c:tx>
            <c:strRef>
              <c:f>Allaitant!$Y$29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Allaitant!$D$30:$D$33</c:f>
              <c:numCache>
                <c:formatCode>General</c:formatCode>
                <c:ptCount val="4"/>
                <c:pt idx="0">
                  <c:v>5</c:v>
                </c:pt>
                <c:pt idx="1">
                  <c:v>6</c:v>
                </c:pt>
                <c:pt idx="2">
                  <c:v>7</c:v>
                </c:pt>
                <c:pt idx="3">
                  <c:v>8</c:v>
                </c:pt>
              </c:numCache>
            </c:numRef>
          </c:xVal>
          <c:yVal>
            <c:numRef>
              <c:f>Allaitant!$Y$30:$Y$33</c:f>
              <c:numCache>
                <c:formatCode>0</c:formatCode>
                <c:ptCount val="4"/>
                <c:pt idx="0">
                  <c:v>72</c:v>
                </c:pt>
                <c:pt idx="1">
                  <c:v>82</c:v>
                </c:pt>
                <c:pt idx="2">
                  <c:v>86</c:v>
                </c:pt>
                <c:pt idx="3">
                  <c:v>95</c:v>
                </c:pt>
              </c:numCache>
            </c:numRef>
          </c:yVal>
          <c:smooth val="0"/>
          <c:extLst xmlns:c16r2="http://schemas.microsoft.com/office/drawing/2015/06/chart">
            <c:ext xmlns:c16="http://schemas.microsoft.com/office/drawing/2014/chart" uri="{C3380CC4-5D6E-409C-BE32-E72D297353CC}">
              <c16:uniqueId val="{00000005-3F59-4589-B1D3-1422A4A0954D}"/>
            </c:ext>
          </c:extLst>
        </c:ser>
        <c:dLbls>
          <c:showLegendKey val="0"/>
          <c:showVal val="0"/>
          <c:showCatName val="0"/>
          <c:showSerName val="0"/>
          <c:showPercent val="0"/>
          <c:showBubbleSize val="0"/>
        </c:dLbls>
        <c:axId val="377489480"/>
        <c:axId val="377489864"/>
      </c:scatterChart>
      <c:valAx>
        <c:axId val="377489480"/>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7489864"/>
        <c:crosses val="autoZero"/>
        <c:crossBetween val="midCat"/>
        <c:majorUnit val="1"/>
        <c:minorUnit val="0.2"/>
      </c:valAx>
      <c:valAx>
        <c:axId val="37748986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7489480"/>
        <c:crossesAt val="5"/>
        <c:crossBetween val="midCat"/>
      </c:valAx>
      <c:spPr>
        <a:noFill/>
        <a:ln w="25400">
          <a:noFill/>
        </a:ln>
      </c:spPr>
    </c:plotArea>
    <c:legend>
      <c:legendPos val="r"/>
      <c:layout>
        <c:manualLayout>
          <c:xMode val="edge"/>
          <c:yMode val="edge"/>
          <c:x val="0.69500084838970755"/>
          <c:y val="0.30869565217391304"/>
          <c:w val="0.27500033569376914"/>
          <c:h val="0.5521739130434782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P2O5 Vaches allaitantes</a:t>
            </a:r>
          </a:p>
        </c:rich>
      </c:tx>
      <c:layout>
        <c:manualLayout>
          <c:xMode val="edge"/>
          <c:yMode val="edge"/>
          <c:x val="0.12750015563983844"/>
          <c:y val="2.1739130434782608E-2"/>
        </c:manualLayout>
      </c:layout>
      <c:overlay val="0"/>
      <c:spPr>
        <a:noFill/>
        <a:ln w="25400">
          <a:noFill/>
        </a:ln>
      </c:spPr>
    </c:title>
    <c:autoTitleDeleted val="0"/>
    <c:plotArea>
      <c:layout>
        <c:manualLayout>
          <c:layoutTarget val="inner"/>
          <c:xMode val="edge"/>
          <c:yMode val="edge"/>
          <c:x val="0.10250012512222305"/>
          <c:y val="0.11304347826086956"/>
          <c:w val="0.55500067749106141"/>
          <c:h val="0.73478260869565215"/>
        </c:manualLayout>
      </c:layout>
      <c:scatterChart>
        <c:scatterStyle val="lineMarker"/>
        <c:varyColors val="0"/>
        <c:ser>
          <c:idx val="0"/>
          <c:order val="0"/>
          <c:tx>
            <c:strRef>
              <c:f>Allaitant!$I$29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Allaitant!$D$30:$D$33</c:f>
              <c:numCache>
                <c:formatCode>General</c:formatCode>
                <c:ptCount val="4"/>
                <c:pt idx="0">
                  <c:v>5</c:v>
                </c:pt>
                <c:pt idx="1">
                  <c:v>6</c:v>
                </c:pt>
                <c:pt idx="2">
                  <c:v>7</c:v>
                </c:pt>
                <c:pt idx="3">
                  <c:v>8</c:v>
                </c:pt>
              </c:numCache>
            </c:numRef>
          </c:xVal>
          <c:yVal>
            <c:numRef>
              <c:f>Allaitant!$I$30:$I$33</c:f>
              <c:numCache>
                <c:formatCode>0.0</c:formatCode>
                <c:ptCount val="4"/>
                <c:pt idx="0">
                  <c:v>11</c:v>
                </c:pt>
                <c:pt idx="1">
                  <c:v>12</c:v>
                </c:pt>
                <c:pt idx="2">
                  <c:v>16</c:v>
                </c:pt>
                <c:pt idx="3">
                  <c:v>18.5</c:v>
                </c:pt>
              </c:numCache>
            </c:numRef>
          </c:yVal>
          <c:smooth val="0"/>
          <c:extLst xmlns:c16r2="http://schemas.microsoft.com/office/drawing/2015/06/chart">
            <c:ext xmlns:c16="http://schemas.microsoft.com/office/drawing/2014/chart" uri="{C3380CC4-5D6E-409C-BE32-E72D297353CC}">
              <c16:uniqueId val="{00000000-3CA5-470F-A2E8-D6361B0300E2}"/>
            </c:ext>
          </c:extLst>
        </c:ser>
        <c:ser>
          <c:idx val="1"/>
          <c:order val="1"/>
          <c:tx>
            <c:strRef>
              <c:f>Allaitant!$J$29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Allaitant!$D$30:$D$33</c:f>
              <c:numCache>
                <c:formatCode>General</c:formatCode>
                <c:ptCount val="4"/>
                <c:pt idx="0">
                  <c:v>5</c:v>
                </c:pt>
                <c:pt idx="1">
                  <c:v>6</c:v>
                </c:pt>
                <c:pt idx="2">
                  <c:v>7</c:v>
                </c:pt>
                <c:pt idx="3">
                  <c:v>8</c:v>
                </c:pt>
              </c:numCache>
            </c:numRef>
          </c:xVal>
          <c:yVal>
            <c:numRef>
              <c:f>Allaitant!$J$30:$J$33</c:f>
              <c:numCache>
                <c:formatCode>0.0</c:formatCode>
                <c:ptCount val="4"/>
                <c:pt idx="0">
                  <c:v>27</c:v>
                </c:pt>
                <c:pt idx="1">
                  <c:v>29</c:v>
                </c:pt>
                <c:pt idx="2">
                  <c:v>32</c:v>
                </c:pt>
                <c:pt idx="3">
                  <c:v>34</c:v>
                </c:pt>
              </c:numCache>
            </c:numRef>
          </c:yVal>
          <c:smooth val="0"/>
          <c:extLst xmlns:c16r2="http://schemas.microsoft.com/office/drawing/2015/06/chart">
            <c:ext xmlns:c16="http://schemas.microsoft.com/office/drawing/2014/chart" uri="{C3380CC4-5D6E-409C-BE32-E72D297353CC}">
              <c16:uniqueId val="{00000001-3CA5-470F-A2E8-D6361B0300E2}"/>
            </c:ext>
          </c:extLst>
        </c:ser>
        <c:ser>
          <c:idx val="2"/>
          <c:order val="2"/>
          <c:tx>
            <c:strRef>
              <c:f>Allaitant!$R$29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Allaitant!$D$30:$D$33</c:f>
              <c:numCache>
                <c:formatCode>General</c:formatCode>
                <c:ptCount val="4"/>
                <c:pt idx="0">
                  <c:v>5</c:v>
                </c:pt>
                <c:pt idx="1">
                  <c:v>6</c:v>
                </c:pt>
                <c:pt idx="2">
                  <c:v>7</c:v>
                </c:pt>
                <c:pt idx="3">
                  <c:v>8</c:v>
                </c:pt>
              </c:numCache>
            </c:numRef>
          </c:xVal>
          <c:yVal>
            <c:numRef>
              <c:f>Allaitant!$R$30:$R$33</c:f>
              <c:numCache>
                <c:formatCode>0.0</c:formatCode>
                <c:ptCount val="4"/>
                <c:pt idx="0">
                  <c:v>12.5</c:v>
                </c:pt>
                <c:pt idx="1">
                  <c:v>17.5</c:v>
                </c:pt>
                <c:pt idx="2">
                  <c:v>20</c:v>
                </c:pt>
                <c:pt idx="3">
                  <c:v>22</c:v>
                </c:pt>
              </c:numCache>
            </c:numRef>
          </c:yVal>
          <c:smooth val="0"/>
          <c:extLst xmlns:c16r2="http://schemas.microsoft.com/office/drawing/2015/06/chart">
            <c:ext xmlns:c16="http://schemas.microsoft.com/office/drawing/2014/chart" uri="{C3380CC4-5D6E-409C-BE32-E72D297353CC}">
              <c16:uniqueId val="{00000002-3CA5-470F-A2E8-D6361B0300E2}"/>
            </c:ext>
          </c:extLst>
        </c:ser>
        <c:ser>
          <c:idx val="3"/>
          <c:order val="3"/>
          <c:tx>
            <c:strRef>
              <c:f>Allaitant!$S$29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Allaitant!$D$30:$D$33</c:f>
              <c:numCache>
                <c:formatCode>General</c:formatCode>
                <c:ptCount val="4"/>
                <c:pt idx="0">
                  <c:v>5</c:v>
                </c:pt>
                <c:pt idx="1">
                  <c:v>6</c:v>
                </c:pt>
                <c:pt idx="2">
                  <c:v>7</c:v>
                </c:pt>
                <c:pt idx="3">
                  <c:v>8</c:v>
                </c:pt>
              </c:numCache>
            </c:numRef>
          </c:xVal>
          <c:yVal>
            <c:numRef>
              <c:f>Allaitant!$S$30:$S$33</c:f>
              <c:numCache>
                <c:formatCode>0.0</c:formatCode>
                <c:ptCount val="4"/>
                <c:pt idx="0">
                  <c:v>29</c:v>
                </c:pt>
                <c:pt idx="1">
                  <c:v>32</c:v>
                </c:pt>
                <c:pt idx="2">
                  <c:v>34</c:v>
                </c:pt>
                <c:pt idx="3">
                  <c:v>35</c:v>
                </c:pt>
              </c:numCache>
            </c:numRef>
          </c:yVal>
          <c:smooth val="0"/>
          <c:extLst xmlns:c16r2="http://schemas.microsoft.com/office/drawing/2015/06/chart">
            <c:ext xmlns:c16="http://schemas.microsoft.com/office/drawing/2014/chart" uri="{C3380CC4-5D6E-409C-BE32-E72D297353CC}">
              <c16:uniqueId val="{00000003-3CA5-470F-A2E8-D6361B0300E2}"/>
            </c:ext>
          </c:extLst>
        </c:ser>
        <c:ser>
          <c:idx val="4"/>
          <c:order val="4"/>
          <c:tx>
            <c:strRef>
              <c:f>Allaitant!$AA$29</c:f>
              <c:strCache>
                <c:ptCount val="1"/>
                <c:pt idx="0">
                  <c:v>Non maitrisable</c:v>
                </c:pt>
              </c:strCache>
            </c:strRef>
          </c:tx>
          <c:spPr>
            <a:ln w="28575">
              <a:noFill/>
            </a:ln>
          </c:spPr>
          <c:marker>
            <c:symbol val="circle"/>
            <c:size val="5"/>
            <c:spPr>
              <a:noFill/>
              <a:ln>
                <a:solidFill>
                  <a:srgbClr val="000000"/>
                </a:solidFill>
                <a:prstDash val="solid"/>
              </a:ln>
            </c:spPr>
          </c:marker>
          <c:xVal>
            <c:numRef>
              <c:f>Allaitant!$D$30:$D$33</c:f>
              <c:numCache>
                <c:formatCode>General</c:formatCode>
                <c:ptCount val="4"/>
                <c:pt idx="0">
                  <c:v>5</c:v>
                </c:pt>
                <c:pt idx="1">
                  <c:v>6</c:v>
                </c:pt>
                <c:pt idx="2">
                  <c:v>7</c:v>
                </c:pt>
                <c:pt idx="3">
                  <c:v>8</c:v>
                </c:pt>
              </c:numCache>
            </c:numRef>
          </c:xVal>
          <c:yVal>
            <c:numRef>
              <c:f>Allaitant!$AA$30:$AA$33</c:f>
              <c:numCache>
                <c:formatCode>0.0</c:formatCode>
                <c:ptCount val="4"/>
                <c:pt idx="0">
                  <c:v>29</c:v>
                </c:pt>
                <c:pt idx="1">
                  <c:v>32</c:v>
                </c:pt>
                <c:pt idx="2">
                  <c:v>34</c:v>
                </c:pt>
                <c:pt idx="3">
                  <c:v>35</c:v>
                </c:pt>
              </c:numCache>
            </c:numRef>
          </c:yVal>
          <c:smooth val="0"/>
          <c:extLst xmlns:c16r2="http://schemas.microsoft.com/office/drawing/2015/06/chart">
            <c:ext xmlns:c16="http://schemas.microsoft.com/office/drawing/2014/chart" uri="{C3380CC4-5D6E-409C-BE32-E72D297353CC}">
              <c16:uniqueId val="{00000004-3CA5-470F-A2E8-D6361B0300E2}"/>
            </c:ext>
          </c:extLst>
        </c:ser>
        <c:ser>
          <c:idx val="5"/>
          <c:order val="5"/>
          <c:tx>
            <c:strRef>
              <c:f>Allaitant!$AB$29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Allaitant!$D$30:$D$33</c:f>
              <c:numCache>
                <c:formatCode>General</c:formatCode>
                <c:ptCount val="4"/>
                <c:pt idx="0">
                  <c:v>5</c:v>
                </c:pt>
                <c:pt idx="1">
                  <c:v>6</c:v>
                </c:pt>
                <c:pt idx="2">
                  <c:v>7</c:v>
                </c:pt>
                <c:pt idx="3">
                  <c:v>8</c:v>
                </c:pt>
              </c:numCache>
            </c:numRef>
          </c:xVal>
          <c:yVal>
            <c:numRef>
              <c:f>Allaitant!$AB$30:$AB$33</c:f>
              <c:numCache>
                <c:formatCode>0.0</c:formatCode>
                <c:ptCount val="4"/>
                <c:pt idx="0">
                  <c:v>32</c:v>
                </c:pt>
                <c:pt idx="1">
                  <c:v>36</c:v>
                </c:pt>
                <c:pt idx="2">
                  <c:v>37</c:v>
                </c:pt>
                <c:pt idx="3">
                  <c:v>38</c:v>
                </c:pt>
              </c:numCache>
            </c:numRef>
          </c:yVal>
          <c:smooth val="0"/>
          <c:extLst xmlns:c16r2="http://schemas.microsoft.com/office/drawing/2015/06/chart">
            <c:ext xmlns:c16="http://schemas.microsoft.com/office/drawing/2014/chart" uri="{C3380CC4-5D6E-409C-BE32-E72D297353CC}">
              <c16:uniqueId val="{00000005-3CA5-470F-A2E8-D6361B0300E2}"/>
            </c:ext>
          </c:extLst>
        </c:ser>
        <c:dLbls>
          <c:showLegendKey val="0"/>
          <c:showVal val="0"/>
          <c:showCatName val="0"/>
          <c:showSerName val="0"/>
          <c:showPercent val="0"/>
          <c:showBubbleSize val="0"/>
        </c:dLbls>
        <c:axId val="377627840"/>
        <c:axId val="377628224"/>
      </c:scatterChart>
      <c:valAx>
        <c:axId val="377627840"/>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7628224"/>
        <c:crosses val="autoZero"/>
        <c:crossBetween val="midCat"/>
        <c:majorUnit val="1"/>
        <c:minorUnit val="0.2"/>
      </c:valAx>
      <c:valAx>
        <c:axId val="377628224"/>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7627840"/>
        <c:crossesAt val="5"/>
        <c:crossBetween val="midCat"/>
      </c:valAx>
      <c:spPr>
        <a:noFill/>
        <a:ln w="25400">
          <a:noFill/>
        </a:ln>
      </c:spPr>
    </c:plotArea>
    <c:legend>
      <c:legendPos val="r"/>
      <c:layout>
        <c:manualLayout>
          <c:xMode val="edge"/>
          <c:yMode val="edge"/>
          <c:x val="0.69500084838970755"/>
          <c:y val="0.30869565217391304"/>
          <c:w val="0.27500033569376914"/>
          <c:h val="0.5521739130434782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N Génisses Année 2</a:t>
            </a:r>
          </a:p>
        </c:rich>
      </c:tx>
      <c:layout>
        <c:manualLayout>
          <c:xMode val="edge"/>
          <c:yMode val="edge"/>
          <c:x val="0.16500020141626148"/>
          <c:y val="2.3696737301765452E-2"/>
        </c:manualLayout>
      </c:layout>
      <c:overlay val="0"/>
      <c:spPr>
        <a:noFill/>
        <a:ln w="25400">
          <a:noFill/>
        </a:ln>
      </c:spPr>
    </c:title>
    <c:autoTitleDeleted val="0"/>
    <c:plotArea>
      <c:layout>
        <c:manualLayout>
          <c:layoutTarget val="inner"/>
          <c:xMode val="edge"/>
          <c:yMode val="edge"/>
          <c:x val="0.10250012512222305"/>
          <c:y val="0.12322303396918036"/>
          <c:w val="0.55500067749106141"/>
          <c:h val="0.71090211905296363"/>
        </c:manualLayout>
      </c:layout>
      <c:scatterChart>
        <c:scatterStyle val="lineMarker"/>
        <c:varyColors val="0"/>
        <c:ser>
          <c:idx val="0"/>
          <c:order val="0"/>
          <c:tx>
            <c:strRef>
              <c:f>Allaitant!$F$29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Allaitant!$D$35:$D$38</c:f>
              <c:numCache>
                <c:formatCode>General</c:formatCode>
                <c:ptCount val="4"/>
                <c:pt idx="0">
                  <c:v>5</c:v>
                </c:pt>
                <c:pt idx="1">
                  <c:v>6</c:v>
                </c:pt>
                <c:pt idx="2">
                  <c:v>7</c:v>
                </c:pt>
                <c:pt idx="3">
                  <c:v>8</c:v>
                </c:pt>
              </c:numCache>
            </c:numRef>
          </c:xVal>
          <c:yVal>
            <c:numRef>
              <c:f>Allaitant!$F$35:$F$38</c:f>
              <c:numCache>
                <c:formatCode>0</c:formatCode>
                <c:ptCount val="4"/>
                <c:pt idx="0">
                  <c:v>20</c:v>
                </c:pt>
                <c:pt idx="1">
                  <c:v>25</c:v>
                </c:pt>
                <c:pt idx="2">
                  <c:v>28</c:v>
                </c:pt>
                <c:pt idx="3">
                  <c:v>32</c:v>
                </c:pt>
              </c:numCache>
            </c:numRef>
          </c:yVal>
          <c:smooth val="0"/>
          <c:extLst xmlns:c16r2="http://schemas.microsoft.com/office/drawing/2015/06/chart">
            <c:ext xmlns:c16="http://schemas.microsoft.com/office/drawing/2014/chart" uri="{C3380CC4-5D6E-409C-BE32-E72D297353CC}">
              <c16:uniqueId val="{00000000-D0A7-4CF6-9103-67B5FE438690}"/>
            </c:ext>
          </c:extLst>
        </c:ser>
        <c:ser>
          <c:idx val="1"/>
          <c:order val="1"/>
          <c:tx>
            <c:strRef>
              <c:f>Allaitant!$G$29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Allaitant!$D$35:$D$38</c:f>
              <c:numCache>
                <c:formatCode>General</c:formatCode>
                <c:ptCount val="4"/>
                <c:pt idx="0">
                  <c:v>5</c:v>
                </c:pt>
                <c:pt idx="1">
                  <c:v>6</c:v>
                </c:pt>
                <c:pt idx="2">
                  <c:v>7</c:v>
                </c:pt>
                <c:pt idx="3">
                  <c:v>8</c:v>
                </c:pt>
              </c:numCache>
            </c:numRef>
          </c:xVal>
          <c:yVal>
            <c:numRef>
              <c:f>Allaitant!$G$35:$G$38</c:f>
              <c:numCache>
                <c:formatCode>0</c:formatCode>
                <c:ptCount val="4"/>
                <c:pt idx="0">
                  <c:v>35</c:v>
                </c:pt>
                <c:pt idx="1">
                  <c:v>37</c:v>
                </c:pt>
                <c:pt idx="2">
                  <c:v>39</c:v>
                </c:pt>
                <c:pt idx="3">
                  <c:v>41</c:v>
                </c:pt>
              </c:numCache>
            </c:numRef>
          </c:yVal>
          <c:smooth val="0"/>
          <c:extLst xmlns:c16r2="http://schemas.microsoft.com/office/drawing/2015/06/chart">
            <c:ext xmlns:c16="http://schemas.microsoft.com/office/drawing/2014/chart" uri="{C3380CC4-5D6E-409C-BE32-E72D297353CC}">
              <c16:uniqueId val="{00000001-D0A7-4CF6-9103-67B5FE438690}"/>
            </c:ext>
          </c:extLst>
        </c:ser>
        <c:ser>
          <c:idx val="2"/>
          <c:order val="2"/>
          <c:tx>
            <c:strRef>
              <c:f>Allaitant!$O$29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Allaitant!$D$35:$D$38</c:f>
              <c:numCache>
                <c:formatCode>General</c:formatCode>
                <c:ptCount val="4"/>
                <c:pt idx="0">
                  <c:v>5</c:v>
                </c:pt>
                <c:pt idx="1">
                  <c:v>6</c:v>
                </c:pt>
                <c:pt idx="2">
                  <c:v>7</c:v>
                </c:pt>
                <c:pt idx="3">
                  <c:v>8</c:v>
                </c:pt>
              </c:numCache>
            </c:numRef>
          </c:xVal>
          <c:yVal>
            <c:numRef>
              <c:f>Allaitant!$O$35:$O$38</c:f>
              <c:numCache>
                <c:formatCode>0</c:formatCode>
                <c:ptCount val="4"/>
                <c:pt idx="0">
                  <c:v>23</c:v>
                </c:pt>
                <c:pt idx="1">
                  <c:v>25</c:v>
                </c:pt>
                <c:pt idx="2">
                  <c:v>32</c:v>
                </c:pt>
                <c:pt idx="3">
                  <c:v>37</c:v>
                </c:pt>
              </c:numCache>
            </c:numRef>
          </c:yVal>
          <c:smooth val="0"/>
          <c:extLst xmlns:c16r2="http://schemas.microsoft.com/office/drawing/2015/06/chart">
            <c:ext xmlns:c16="http://schemas.microsoft.com/office/drawing/2014/chart" uri="{C3380CC4-5D6E-409C-BE32-E72D297353CC}">
              <c16:uniqueId val="{00000002-D0A7-4CF6-9103-67B5FE438690}"/>
            </c:ext>
          </c:extLst>
        </c:ser>
        <c:ser>
          <c:idx val="3"/>
          <c:order val="3"/>
          <c:tx>
            <c:strRef>
              <c:f>Allaitant!$P$29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Allaitant!$D$35:$D$38</c:f>
              <c:numCache>
                <c:formatCode>General</c:formatCode>
                <c:ptCount val="4"/>
                <c:pt idx="0">
                  <c:v>5</c:v>
                </c:pt>
                <c:pt idx="1">
                  <c:v>6</c:v>
                </c:pt>
                <c:pt idx="2">
                  <c:v>7</c:v>
                </c:pt>
                <c:pt idx="3">
                  <c:v>8</c:v>
                </c:pt>
              </c:numCache>
            </c:numRef>
          </c:xVal>
          <c:yVal>
            <c:numRef>
              <c:f>Allaitant!$P$35:$P$38</c:f>
              <c:numCache>
                <c:formatCode>0</c:formatCode>
                <c:ptCount val="4"/>
                <c:pt idx="0">
                  <c:v>37</c:v>
                </c:pt>
                <c:pt idx="1">
                  <c:v>38</c:v>
                </c:pt>
                <c:pt idx="2">
                  <c:v>44</c:v>
                </c:pt>
                <c:pt idx="3">
                  <c:v>48</c:v>
                </c:pt>
              </c:numCache>
            </c:numRef>
          </c:yVal>
          <c:smooth val="0"/>
          <c:extLst xmlns:c16r2="http://schemas.microsoft.com/office/drawing/2015/06/chart">
            <c:ext xmlns:c16="http://schemas.microsoft.com/office/drawing/2014/chart" uri="{C3380CC4-5D6E-409C-BE32-E72D297353CC}">
              <c16:uniqueId val="{00000003-D0A7-4CF6-9103-67B5FE438690}"/>
            </c:ext>
          </c:extLst>
        </c:ser>
        <c:ser>
          <c:idx val="4"/>
          <c:order val="4"/>
          <c:tx>
            <c:strRef>
              <c:f>Allaitant!$X$29</c:f>
              <c:strCache>
                <c:ptCount val="1"/>
                <c:pt idx="0">
                  <c:v>Non maitrisable</c:v>
                </c:pt>
              </c:strCache>
            </c:strRef>
          </c:tx>
          <c:spPr>
            <a:ln w="28575">
              <a:noFill/>
            </a:ln>
          </c:spPr>
          <c:marker>
            <c:symbol val="circle"/>
            <c:size val="5"/>
            <c:spPr>
              <a:noFill/>
              <a:ln>
                <a:solidFill>
                  <a:srgbClr val="000000"/>
                </a:solidFill>
                <a:prstDash val="solid"/>
              </a:ln>
            </c:spPr>
          </c:marker>
          <c:xVal>
            <c:numRef>
              <c:f>Allaitant!$D$35:$D$38</c:f>
              <c:numCache>
                <c:formatCode>General</c:formatCode>
                <c:ptCount val="4"/>
                <c:pt idx="0">
                  <c:v>5</c:v>
                </c:pt>
                <c:pt idx="1">
                  <c:v>6</c:v>
                </c:pt>
                <c:pt idx="2">
                  <c:v>7</c:v>
                </c:pt>
                <c:pt idx="3">
                  <c:v>8</c:v>
                </c:pt>
              </c:numCache>
            </c:numRef>
          </c:xVal>
          <c:yVal>
            <c:numRef>
              <c:f>Allaitant!$X$35:$X$38</c:f>
              <c:numCache>
                <c:formatCode>0</c:formatCode>
                <c:ptCount val="4"/>
                <c:pt idx="0">
                  <c:v>26</c:v>
                </c:pt>
                <c:pt idx="1">
                  <c:v>30</c:v>
                </c:pt>
                <c:pt idx="2">
                  <c:v>36</c:v>
                </c:pt>
                <c:pt idx="3">
                  <c:v>40</c:v>
                </c:pt>
              </c:numCache>
            </c:numRef>
          </c:yVal>
          <c:smooth val="0"/>
          <c:extLst xmlns:c16r2="http://schemas.microsoft.com/office/drawing/2015/06/chart">
            <c:ext xmlns:c16="http://schemas.microsoft.com/office/drawing/2014/chart" uri="{C3380CC4-5D6E-409C-BE32-E72D297353CC}">
              <c16:uniqueId val="{00000004-D0A7-4CF6-9103-67B5FE438690}"/>
            </c:ext>
          </c:extLst>
        </c:ser>
        <c:ser>
          <c:idx val="5"/>
          <c:order val="5"/>
          <c:tx>
            <c:strRef>
              <c:f>Allaitant!$Y$29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Allaitant!$D$35:$D$38</c:f>
              <c:numCache>
                <c:formatCode>General</c:formatCode>
                <c:ptCount val="4"/>
                <c:pt idx="0">
                  <c:v>5</c:v>
                </c:pt>
                <c:pt idx="1">
                  <c:v>6</c:v>
                </c:pt>
                <c:pt idx="2">
                  <c:v>7</c:v>
                </c:pt>
                <c:pt idx="3">
                  <c:v>8</c:v>
                </c:pt>
              </c:numCache>
            </c:numRef>
          </c:xVal>
          <c:yVal>
            <c:numRef>
              <c:f>Allaitant!$Y$35:$Y$38</c:f>
              <c:numCache>
                <c:formatCode>0</c:formatCode>
                <c:ptCount val="4"/>
                <c:pt idx="0">
                  <c:v>41</c:v>
                </c:pt>
                <c:pt idx="1">
                  <c:v>45</c:v>
                </c:pt>
                <c:pt idx="2">
                  <c:v>51</c:v>
                </c:pt>
                <c:pt idx="3">
                  <c:v>55</c:v>
                </c:pt>
              </c:numCache>
            </c:numRef>
          </c:yVal>
          <c:smooth val="0"/>
          <c:extLst xmlns:c16r2="http://schemas.microsoft.com/office/drawing/2015/06/chart">
            <c:ext xmlns:c16="http://schemas.microsoft.com/office/drawing/2014/chart" uri="{C3380CC4-5D6E-409C-BE32-E72D297353CC}">
              <c16:uniqueId val="{00000005-D0A7-4CF6-9103-67B5FE438690}"/>
            </c:ext>
          </c:extLst>
        </c:ser>
        <c:dLbls>
          <c:showLegendKey val="0"/>
          <c:showVal val="0"/>
          <c:showCatName val="0"/>
          <c:showSerName val="0"/>
          <c:showPercent val="0"/>
          <c:showBubbleSize val="0"/>
        </c:dLbls>
        <c:axId val="378492000"/>
        <c:axId val="378492384"/>
      </c:scatterChart>
      <c:valAx>
        <c:axId val="378492000"/>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8492384"/>
        <c:crosses val="autoZero"/>
        <c:crossBetween val="midCat"/>
        <c:majorUnit val="1"/>
        <c:minorUnit val="0.2"/>
      </c:valAx>
      <c:valAx>
        <c:axId val="3784923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8492000"/>
        <c:crossesAt val="5"/>
        <c:crossBetween val="midCat"/>
      </c:valAx>
      <c:spPr>
        <a:noFill/>
        <a:ln w="25400">
          <a:noFill/>
        </a:ln>
      </c:spPr>
    </c:plotArea>
    <c:legend>
      <c:legendPos val="r"/>
      <c:layout>
        <c:manualLayout>
          <c:xMode val="edge"/>
          <c:yMode val="edge"/>
          <c:x val="0.69500084838970755"/>
          <c:y val="0.27962150016083237"/>
          <c:w val="0.27500033569376914"/>
          <c:h val="0.6018971274648424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P205 Génisses Année 2</a:t>
            </a:r>
          </a:p>
        </c:rich>
      </c:tx>
      <c:layout>
        <c:manualLayout>
          <c:xMode val="edge"/>
          <c:yMode val="edge"/>
          <c:x val="0.13250016174336152"/>
          <c:y val="2.3696737301765452E-2"/>
        </c:manualLayout>
      </c:layout>
      <c:overlay val="0"/>
      <c:spPr>
        <a:noFill/>
        <a:ln w="25400">
          <a:noFill/>
        </a:ln>
      </c:spPr>
    </c:title>
    <c:autoTitleDeleted val="0"/>
    <c:plotArea>
      <c:layout>
        <c:manualLayout>
          <c:layoutTarget val="inner"/>
          <c:xMode val="edge"/>
          <c:yMode val="edge"/>
          <c:x val="0.13000015869159998"/>
          <c:y val="0.12322303396918036"/>
          <c:w val="0.5275006439216845"/>
          <c:h val="0.71090211905296363"/>
        </c:manualLayout>
      </c:layout>
      <c:scatterChart>
        <c:scatterStyle val="lineMarker"/>
        <c:varyColors val="0"/>
        <c:ser>
          <c:idx val="0"/>
          <c:order val="0"/>
          <c:tx>
            <c:strRef>
              <c:f>Allaitant!$I$29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Allaitant!$D$35:$D$38</c:f>
              <c:numCache>
                <c:formatCode>General</c:formatCode>
                <c:ptCount val="4"/>
                <c:pt idx="0">
                  <c:v>5</c:v>
                </c:pt>
                <c:pt idx="1">
                  <c:v>6</c:v>
                </c:pt>
                <c:pt idx="2">
                  <c:v>7</c:v>
                </c:pt>
                <c:pt idx="3">
                  <c:v>8</c:v>
                </c:pt>
              </c:numCache>
            </c:numRef>
          </c:xVal>
          <c:yVal>
            <c:numRef>
              <c:f>Allaitant!$I$35:$I$38</c:f>
              <c:numCache>
                <c:formatCode>0.0</c:formatCode>
                <c:ptCount val="4"/>
                <c:pt idx="0">
                  <c:v>6.5</c:v>
                </c:pt>
                <c:pt idx="1">
                  <c:v>8</c:v>
                </c:pt>
                <c:pt idx="2">
                  <c:v>9</c:v>
                </c:pt>
                <c:pt idx="3">
                  <c:v>10</c:v>
                </c:pt>
              </c:numCache>
            </c:numRef>
          </c:yVal>
          <c:smooth val="0"/>
          <c:extLst xmlns:c16r2="http://schemas.microsoft.com/office/drawing/2015/06/chart">
            <c:ext xmlns:c16="http://schemas.microsoft.com/office/drawing/2014/chart" uri="{C3380CC4-5D6E-409C-BE32-E72D297353CC}">
              <c16:uniqueId val="{00000000-EBFF-47C9-9609-30F9A0FABB87}"/>
            </c:ext>
          </c:extLst>
        </c:ser>
        <c:ser>
          <c:idx val="1"/>
          <c:order val="1"/>
          <c:tx>
            <c:strRef>
              <c:f>Allaitant!$J$29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Allaitant!$D$35:$D$38</c:f>
              <c:numCache>
                <c:formatCode>General</c:formatCode>
                <c:ptCount val="4"/>
                <c:pt idx="0">
                  <c:v>5</c:v>
                </c:pt>
                <c:pt idx="1">
                  <c:v>6</c:v>
                </c:pt>
                <c:pt idx="2">
                  <c:v>7</c:v>
                </c:pt>
                <c:pt idx="3">
                  <c:v>8</c:v>
                </c:pt>
              </c:numCache>
            </c:numRef>
          </c:xVal>
          <c:yVal>
            <c:numRef>
              <c:f>Allaitant!$J$35:$J$38</c:f>
              <c:numCache>
                <c:formatCode>0.0</c:formatCode>
                <c:ptCount val="4"/>
                <c:pt idx="0">
                  <c:v>16</c:v>
                </c:pt>
                <c:pt idx="1">
                  <c:v>16</c:v>
                </c:pt>
                <c:pt idx="2">
                  <c:v>17</c:v>
                </c:pt>
                <c:pt idx="3">
                  <c:v>17</c:v>
                </c:pt>
              </c:numCache>
            </c:numRef>
          </c:yVal>
          <c:smooth val="0"/>
          <c:extLst xmlns:c16r2="http://schemas.microsoft.com/office/drawing/2015/06/chart">
            <c:ext xmlns:c16="http://schemas.microsoft.com/office/drawing/2014/chart" uri="{C3380CC4-5D6E-409C-BE32-E72D297353CC}">
              <c16:uniqueId val="{00000001-EBFF-47C9-9609-30F9A0FABB87}"/>
            </c:ext>
          </c:extLst>
        </c:ser>
        <c:ser>
          <c:idx val="2"/>
          <c:order val="2"/>
          <c:tx>
            <c:strRef>
              <c:f>Allaitant!$R$29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Allaitant!$D$35:$D$38</c:f>
              <c:numCache>
                <c:formatCode>General</c:formatCode>
                <c:ptCount val="4"/>
                <c:pt idx="0">
                  <c:v>5</c:v>
                </c:pt>
                <c:pt idx="1">
                  <c:v>6</c:v>
                </c:pt>
                <c:pt idx="2">
                  <c:v>7</c:v>
                </c:pt>
                <c:pt idx="3">
                  <c:v>8</c:v>
                </c:pt>
              </c:numCache>
            </c:numRef>
          </c:xVal>
          <c:yVal>
            <c:numRef>
              <c:f>Allaitant!$R$35:$R$38</c:f>
              <c:numCache>
                <c:formatCode>0.0</c:formatCode>
                <c:ptCount val="4"/>
                <c:pt idx="0">
                  <c:v>7</c:v>
                </c:pt>
                <c:pt idx="1">
                  <c:v>9</c:v>
                </c:pt>
                <c:pt idx="2">
                  <c:v>11</c:v>
                </c:pt>
                <c:pt idx="3">
                  <c:v>12</c:v>
                </c:pt>
              </c:numCache>
            </c:numRef>
          </c:yVal>
          <c:smooth val="0"/>
          <c:extLst xmlns:c16r2="http://schemas.microsoft.com/office/drawing/2015/06/chart">
            <c:ext xmlns:c16="http://schemas.microsoft.com/office/drawing/2014/chart" uri="{C3380CC4-5D6E-409C-BE32-E72D297353CC}">
              <c16:uniqueId val="{00000002-EBFF-47C9-9609-30F9A0FABB87}"/>
            </c:ext>
          </c:extLst>
        </c:ser>
        <c:ser>
          <c:idx val="3"/>
          <c:order val="3"/>
          <c:tx>
            <c:strRef>
              <c:f>Allaitant!$S$29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Allaitant!$D$35:$D$38</c:f>
              <c:numCache>
                <c:formatCode>General</c:formatCode>
                <c:ptCount val="4"/>
                <c:pt idx="0">
                  <c:v>5</c:v>
                </c:pt>
                <c:pt idx="1">
                  <c:v>6</c:v>
                </c:pt>
                <c:pt idx="2">
                  <c:v>7</c:v>
                </c:pt>
                <c:pt idx="3">
                  <c:v>8</c:v>
                </c:pt>
              </c:numCache>
            </c:numRef>
          </c:xVal>
          <c:yVal>
            <c:numRef>
              <c:f>Allaitant!$S$35:$S$38</c:f>
              <c:numCache>
                <c:formatCode>0.0</c:formatCode>
                <c:ptCount val="4"/>
                <c:pt idx="0">
                  <c:v>17.5</c:v>
                </c:pt>
                <c:pt idx="1">
                  <c:v>18</c:v>
                </c:pt>
                <c:pt idx="2">
                  <c:v>18</c:v>
                </c:pt>
                <c:pt idx="3">
                  <c:v>19</c:v>
                </c:pt>
              </c:numCache>
            </c:numRef>
          </c:yVal>
          <c:smooth val="0"/>
          <c:extLst xmlns:c16r2="http://schemas.microsoft.com/office/drawing/2015/06/chart">
            <c:ext xmlns:c16="http://schemas.microsoft.com/office/drawing/2014/chart" uri="{C3380CC4-5D6E-409C-BE32-E72D297353CC}">
              <c16:uniqueId val="{00000003-EBFF-47C9-9609-30F9A0FABB87}"/>
            </c:ext>
          </c:extLst>
        </c:ser>
        <c:ser>
          <c:idx val="4"/>
          <c:order val="4"/>
          <c:tx>
            <c:strRef>
              <c:f>Allaitant!$AA$29</c:f>
              <c:strCache>
                <c:ptCount val="1"/>
                <c:pt idx="0">
                  <c:v>Non maitrisable</c:v>
                </c:pt>
              </c:strCache>
            </c:strRef>
          </c:tx>
          <c:spPr>
            <a:ln w="28575">
              <a:noFill/>
            </a:ln>
          </c:spPr>
          <c:marker>
            <c:symbol val="circle"/>
            <c:size val="5"/>
            <c:spPr>
              <a:noFill/>
              <a:ln>
                <a:solidFill>
                  <a:srgbClr val="000000"/>
                </a:solidFill>
                <a:prstDash val="solid"/>
              </a:ln>
            </c:spPr>
          </c:marker>
          <c:xVal>
            <c:numRef>
              <c:f>Allaitant!$D$35:$D$38</c:f>
              <c:numCache>
                <c:formatCode>General</c:formatCode>
                <c:ptCount val="4"/>
                <c:pt idx="0">
                  <c:v>5</c:v>
                </c:pt>
                <c:pt idx="1">
                  <c:v>6</c:v>
                </c:pt>
                <c:pt idx="2">
                  <c:v>7</c:v>
                </c:pt>
                <c:pt idx="3">
                  <c:v>8</c:v>
                </c:pt>
              </c:numCache>
            </c:numRef>
          </c:xVal>
          <c:yVal>
            <c:numRef>
              <c:f>Allaitant!$AA$35:$AA$38</c:f>
              <c:numCache>
                <c:formatCode>0.0</c:formatCode>
                <c:ptCount val="4"/>
                <c:pt idx="0">
                  <c:v>8.5</c:v>
                </c:pt>
                <c:pt idx="1">
                  <c:v>10</c:v>
                </c:pt>
                <c:pt idx="2">
                  <c:v>12</c:v>
                </c:pt>
                <c:pt idx="3">
                  <c:v>13</c:v>
                </c:pt>
              </c:numCache>
            </c:numRef>
          </c:yVal>
          <c:smooth val="0"/>
          <c:extLst xmlns:c16r2="http://schemas.microsoft.com/office/drawing/2015/06/chart">
            <c:ext xmlns:c16="http://schemas.microsoft.com/office/drawing/2014/chart" uri="{C3380CC4-5D6E-409C-BE32-E72D297353CC}">
              <c16:uniqueId val="{00000004-EBFF-47C9-9609-30F9A0FABB87}"/>
            </c:ext>
          </c:extLst>
        </c:ser>
        <c:ser>
          <c:idx val="5"/>
          <c:order val="5"/>
          <c:tx>
            <c:strRef>
              <c:f>Allaitant!$AB$29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Allaitant!$D$35:$D$38</c:f>
              <c:numCache>
                <c:formatCode>General</c:formatCode>
                <c:ptCount val="4"/>
                <c:pt idx="0">
                  <c:v>5</c:v>
                </c:pt>
                <c:pt idx="1">
                  <c:v>6</c:v>
                </c:pt>
                <c:pt idx="2">
                  <c:v>7</c:v>
                </c:pt>
                <c:pt idx="3">
                  <c:v>8</c:v>
                </c:pt>
              </c:numCache>
            </c:numRef>
          </c:xVal>
          <c:yVal>
            <c:numRef>
              <c:f>Allaitant!$AB$35:$AB$38</c:f>
              <c:numCache>
                <c:formatCode>0.0</c:formatCode>
                <c:ptCount val="4"/>
                <c:pt idx="0">
                  <c:v>20</c:v>
                </c:pt>
                <c:pt idx="1">
                  <c:v>21</c:v>
                </c:pt>
                <c:pt idx="2">
                  <c:v>21</c:v>
                </c:pt>
                <c:pt idx="3">
                  <c:v>22</c:v>
                </c:pt>
              </c:numCache>
            </c:numRef>
          </c:yVal>
          <c:smooth val="0"/>
          <c:extLst xmlns:c16r2="http://schemas.microsoft.com/office/drawing/2015/06/chart">
            <c:ext xmlns:c16="http://schemas.microsoft.com/office/drawing/2014/chart" uri="{C3380CC4-5D6E-409C-BE32-E72D297353CC}">
              <c16:uniqueId val="{00000005-EBFF-47C9-9609-30F9A0FABB87}"/>
            </c:ext>
          </c:extLst>
        </c:ser>
        <c:dLbls>
          <c:showLegendKey val="0"/>
          <c:showVal val="0"/>
          <c:showCatName val="0"/>
          <c:showSerName val="0"/>
          <c:showPercent val="0"/>
          <c:showBubbleSize val="0"/>
        </c:dLbls>
        <c:axId val="376233904"/>
        <c:axId val="376236256"/>
      </c:scatterChart>
      <c:valAx>
        <c:axId val="376233904"/>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6236256"/>
        <c:crosses val="autoZero"/>
        <c:crossBetween val="midCat"/>
        <c:majorUnit val="1"/>
        <c:minorUnit val="0.2"/>
      </c:valAx>
      <c:valAx>
        <c:axId val="376236256"/>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6233904"/>
        <c:crossesAt val="5"/>
        <c:crossBetween val="midCat"/>
      </c:valAx>
      <c:spPr>
        <a:noFill/>
        <a:ln w="25400">
          <a:noFill/>
        </a:ln>
      </c:spPr>
    </c:plotArea>
    <c:legend>
      <c:legendPos val="r"/>
      <c:layout>
        <c:manualLayout>
          <c:xMode val="edge"/>
          <c:yMode val="edge"/>
          <c:x val="0.69500084838970755"/>
          <c:y val="0.27962150016083237"/>
          <c:w val="0.27500033569376914"/>
          <c:h val="0.6018971274648424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N Génisses Année 3</a:t>
            </a:r>
          </a:p>
        </c:rich>
      </c:tx>
      <c:layout>
        <c:manualLayout>
          <c:xMode val="edge"/>
          <c:yMode val="edge"/>
          <c:x val="0.16500020141626148"/>
          <c:y val="2.3809634531410582E-2"/>
        </c:manualLayout>
      </c:layout>
      <c:overlay val="0"/>
      <c:spPr>
        <a:noFill/>
        <a:ln w="25400">
          <a:noFill/>
        </a:ln>
      </c:spPr>
    </c:title>
    <c:autoTitleDeleted val="0"/>
    <c:plotArea>
      <c:layout>
        <c:manualLayout>
          <c:layoutTarget val="inner"/>
          <c:xMode val="edge"/>
          <c:yMode val="edge"/>
          <c:x val="0.10250012512222305"/>
          <c:y val="0.12381009956333502"/>
          <c:w val="0.55500067749106141"/>
          <c:h val="0.70952710903603533"/>
        </c:manualLayout>
      </c:layout>
      <c:scatterChart>
        <c:scatterStyle val="lineMarker"/>
        <c:varyColors val="0"/>
        <c:ser>
          <c:idx val="0"/>
          <c:order val="0"/>
          <c:tx>
            <c:strRef>
              <c:f>Allaitant!$F$29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Allaitant!$D$41:$D$44</c:f>
              <c:numCache>
                <c:formatCode>General</c:formatCode>
                <c:ptCount val="4"/>
                <c:pt idx="0">
                  <c:v>5</c:v>
                </c:pt>
                <c:pt idx="1">
                  <c:v>6</c:v>
                </c:pt>
                <c:pt idx="2">
                  <c:v>7</c:v>
                </c:pt>
                <c:pt idx="3">
                  <c:v>8</c:v>
                </c:pt>
              </c:numCache>
            </c:numRef>
          </c:xVal>
          <c:yVal>
            <c:numRef>
              <c:f>Allaitant!$F$41:$F$44</c:f>
              <c:numCache>
                <c:formatCode>0</c:formatCode>
                <c:ptCount val="4"/>
                <c:pt idx="0">
                  <c:v>28</c:v>
                </c:pt>
                <c:pt idx="1">
                  <c:v>34</c:v>
                </c:pt>
                <c:pt idx="2">
                  <c:v>39</c:v>
                </c:pt>
                <c:pt idx="3">
                  <c:v>45</c:v>
                </c:pt>
              </c:numCache>
            </c:numRef>
          </c:yVal>
          <c:smooth val="0"/>
          <c:extLst xmlns:c16r2="http://schemas.microsoft.com/office/drawing/2015/06/chart">
            <c:ext xmlns:c16="http://schemas.microsoft.com/office/drawing/2014/chart" uri="{C3380CC4-5D6E-409C-BE32-E72D297353CC}">
              <c16:uniqueId val="{00000000-0843-4B2A-9175-E7BCE0C6EC7C}"/>
            </c:ext>
          </c:extLst>
        </c:ser>
        <c:ser>
          <c:idx val="1"/>
          <c:order val="1"/>
          <c:tx>
            <c:strRef>
              <c:f>Allaitant!$G$29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Allaitant!$D$41:$D$44</c:f>
              <c:numCache>
                <c:formatCode>General</c:formatCode>
                <c:ptCount val="4"/>
                <c:pt idx="0">
                  <c:v>5</c:v>
                </c:pt>
                <c:pt idx="1">
                  <c:v>6</c:v>
                </c:pt>
                <c:pt idx="2">
                  <c:v>7</c:v>
                </c:pt>
                <c:pt idx="3">
                  <c:v>8</c:v>
                </c:pt>
              </c:numCache>
            </c:numRef>
          </c:xVal>
          <c:yVal>
            <c:numRef>
              <c:f>Allaitant!$G$41:$G$44</c:f>
              <c:numCache>
                <c:formatCode>0</c:formatCode>
                <c:ptCount val="4"/>
                <c:pt idx="0">
                  <c:v>50</c:v>
                </c:pt>
                <c:pt idx="1">
                  <c:v>53</c:v>
                </c:pt>
                <c:pt idx="2">
                  <c:v>55</c:v>
                </c:pt>
                <c:pt idx="3">
                  <c:v>58</c:v>
                </c:pt>
              </c:numCache>
            </c:numRef>
          </c:yVal>
          <c:smooth val="0"/>
          <c:extLst xmlns:c16r2="http://schemas.microsoft.com/office/drawing/2015/06/chart">
            <c:ext xmlns:c16="http://schemas.microsoft.com/office/drawing/2014/chart" uri="{C3380CC4-5D6E-409C-BE32-E72D297353CC}">
              <c16:uniqueId val="{00000001-0843-4B2A-9175-E7BCE0C6EC7C}"/>
            </c:ext>
          </c:extLst>
        </c:ser>
        <c:ser>
          <c:idx val="2"/>
          <c:order val="2"/>
          <c:tx>
            <c:strRef>
              <c:f>Allaitant!$O$29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Allaitant!$D$41:$D$44</c:f>
              <c:numCache>
                <c:formatCode>General</c:formatCode>
                <c:ptCount val="4"/>
                <c:pt idx="0">
                  <c:v>5</c:v>
                </c:pt>
                <c:pt idx="1">
                  <c:v>6</c:v>
                </c:pt>
                <c:pt idx="2">
                  <c:v>7</c:v>
                </c:pt>
                <c:pt idx="3">
                  <c:v>8</c:v>
                </c:pt>
              </c:numCache>
            </c:numRef>
          </c:xVal>
          <c:yVal>
            <c:numRef>
              <c:f>Allaitant!$O$41:$O$44</c:f>
              <c:numCache>
                <c:formatCode>0</c:formatCode>
                <c:ptCount val="4"/>
                <c:pt idx="0">
                  <c:v>31</c:v>
                </c:pt>
                <c:pt idx="1">
                  <c:v>37</c:v>
                </c:pt>
                <c:pt idx="2">
                  <c:v>45</c:v>
                </c:pt>
                <c:pt idx="3">
                  <c:v>50</c:v>
                </c:pt>
              </c:numCache>
            </c:numRef>
          </c:yVal>
          <c:smooth val="0"/>
          <c:extLst xmlns:c16r2="http://schemas.microsoft.com/office/drawing/2015/06/chart">
            <c:ext xmlns:c16="http://schemas.microsoft.com/office/drawing/2014/chart" uri="{C3380CC4-5D6E-409C-BE32-E72D297353CC}">
              <c16:uniqueId val="{00000002-0843-4B2A-9175-E7BCE0C6EC7C}"/>
            </c:ext>
          </c:extLst>
        </c:ser>
        <c:ser>
          <c:idx val="3"/>
          <c:order val="3"/>
          <c:tx>
            <c:strRef>
              <c:f>Allaitant!$P$29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Allaitant!$D$41:$D$44</c:f>
              <c:numCache>
                <c:formatCode>General</c:formatCode>
                <c:ptCount val="4"/>
                <c:pt idx="0">
                  <c:v>5</c:v>
                </c:pt>
                <c:pt idx="1">
                  <c:v>6</c:v>
                </c:pt>
                <c:pt idx="2">
                  <c:v>7</c:v>
                </c:pt>
                <c:pt idx="3">
                  <c:v>8</c:v>
                </c:pt>
              </c:numCache>
            </c:numRef>
          </c:xVal>
          <c:yVal>
            <c:numRef>
              <c:f>Allaitant!$P$41:$P$44</c:f>
              <c:numCache>
                <c:formatCode>0</c:formatCode>
                <c:ptCount val="4"/>
                <c:pt idx="0">
                  <c:v>53</c:v>
                </c:pt>
                <c:pt idx="1">
                  <c:v>56</c:v>
                </c:pt>
                <c:pt idx="2">
                  <c:v>59</c:v>
                </c:pt>
                <c:pt idx="3">
                  <c:v>63</c:v>
                </c:pt>
              </c:numCache>
            </c:numRef>
          </c:yVal>
          <c:smooth val="0"/>
          <c:extLst xmlns:c16r2="http://schemas.microsoft.com/office/drawing/2015/06/chart">
            <c:ext xmlns:c16="http://schemas.microsoft.com/office/drawing/2014/chart" uri="{C3380CC4-5D6E-409C-BE32-E72D297353CC}">
              <c16:uniqueId val="{00000003-0843-4B2A-9175-E7BCE0C6EC7C}"/>
            </c:ext>
          </c:extLst>
        </c:ser>
        <c:ser>
          <c:idx val="4"/>
          <c:order val="4"/>
          <c:tx>
            <c:strRef>
              <c:f>Allaitant!$X$29</c:f>
              <c:strCache>
                <c:ptCount val="1"/>
                <c:pt idx="0">
                  <c:v>Non maitrisable</c:v>
                </c:pt>
              </c:strCache>
            </c:strRef>
          </c:tx>
          <c:spPr>
            <a:ln w="28575">
              <a:noFill/>
            </a:ln>
          </c:spPr>
          <c:marker>
            <c:symbol val="circle"/>
            <c:size val="5"/>
            <c:spPr>
              <a:noFill/>
              <a:ln>
                <a:solidFill>
                  <a:srgbClr val="000000"/>
                </a:solidFill>
                <a:prstDash val="solid"/>
              </a:ln>
            </c:spPr>
          </c:marker>
          <c:xVal>
            <c:numRef>
              <c:f>Allaitant!$D$41:$D$44</c:f>
              <c:numCache>
                <c:formatCode>General</c:formatCode>
                <c:ptCount val="4"/>
                <c:pt idx="0">
                  <c:v>5</c:v>
                </c:pt>
                <c:pt idx="1">
                  <c:v>6</c:v>
                </c:pt>
                <c:pt idx="2">
                  <c:v>7</c:v>
                </c:pt>
                <c:pt idx="3">
                  <c:v>8</c:v>
                </c:pt>
              </c:numCache>
            </c:numRef>
          </c:xVal>
          <c:yVal>
            <c:numRef>
              <c:f>Allaitant!$X$41:$X$44</c:f>
              <c:numCache>
                <c:formatCode>0</c:formatCode>
                <c:ptCount val="4"/>
                <c:pt idx="0">
                  <c:v>34</c:v>
                </c:pt>
                <c:pt idx="1">
                  <c:v>42</c:v>
                </c:pt>
                <c:pt idx="2">
                  <c:v>47</c:v>
                </c:pt>
                <c:pt idx="3">
                  <c:v>54</c:v>
                </c:pt>
              </c:numCache>
            </c:numRef>
          </c:yVal>
          <c:smooth val="0"/>
          <c:extLst xmlns:c16r2="http://schemas.microsoft.com/office/drawing/2015/06/chart">
            <c:ext xmlns:c16="http://schemas.microsoft.com/office/drawing/2014/chart" uri="{C3380CC4-5D6E-409C-BE32-E72D297353CC}">
              <c16:uniqueId val="{00000004-0843-4B2A-9175-E7BCE0C6EC7C}"/>
            </c:ext>
          </c:extLst>
        </c:ser>
        <c:ser>
          <c:idx val="5"/>
          <c:order val="5"/>
          <c:tx>
            <c:strRef>
              <c:f>Allaitant!$Y$29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Allaitant!$D$41:$D$44</c:f>
              <c:numCache>
                <c:formatCode>General</c:formatCode>
                <c:ptCount val="4"/>
                <c:pt idx="0">
                  <c:v>5</c:v>
                </c:pt>
                <c:pt idx="1">
                  <c:v>6</c:v>
                </c:pt>
                <c:pt idx="2">
                  <c:v>7</c:v>
                </c:pt>
                <c:pt idx="3">
                  <c:v>8</c:v>
                </c:pt>
              </c:numCache>
            </c:numRef>
          </c:xVal>
          <c:yVal>
            <c:numRef>
              <c:f>Allaitant!$Y$41:$Y$44</c:f>
              <c:numCache>
                <c:formatCode>0</c:formatCode>
                <c:ptCount val="4"/>
                <c:pt idx="0">
                  <c:v>57</c:v>
                </c:pt>
                <c:pt idx="1">
                  <c:v>61</c:v>
                </c:pt>
                <c:pt idx="2">
                  <c:v>63</c:v>
                </c:pt>
                <c:pt idx="3">
                  <c:v>67</c:v>
                </c:pt>
              </c:numCache>
            </c:numRef>
          </c:yVal>
          <c:smooth val="0"/>
          <c:extLst xmlns:c16r2="http://schemas.microsoft.com/office/drawing/2015/06/chart">
            <c:ext xmlns:c16="http://schemas.microsoft.com/office/drawing/2014/chart" uri="{C3380CC4-5D6E-409C-BE32-E72D297353CC}">
              <c16:uniqueId val="{00000005-0843-4B2A-9175-E7BCE0C6EC7C}"/>
            </c:ext>
          </c:extLst>
        </c:ser>
        <c:dLbls>
          <c:showLegendKey val="0"/>
          <c:showVal val="0"/>
          <c:showCatName val="0"/>
          <c:showSerName val="0"/>
          <c:showPercent val="0"/>
          <c:showBubbleSize val="0"/>
        </c:dLbls>
        <c:axId val="376232336"/>
        <c:axId val="376232728"/>
      </c:scatterChart>
      <c:valAx>
        <c:axId val="376232336"/>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6232728"/>
        <c:crosses val="autoZero"/>
        <c:crossBetween val="midCat"/>
        <c:majorUnit val="1"/>
        <c:minorUnit val="0.2"/>
      </c:valAx>
      <c:valAx>
        <c:axId val="37623272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6232336"/>
        <c:crossesAt val="5"/>
        <c:crossBetween val="midCat"/>
      </c:valAx>
      <c:spPr>
        <a:noFill/>
        <a:ln w="25400">
          <a:noFill/>
        </a:ln>
      </c:spPr>
    </c:plotArea>
    <c:legend>
      <c:legendPos val="r"/>
      <c:layout>
        <c:manualLayout>
          <c:xMode val="edge"/>
          <c:yMode val="edge"/>
          <c:x val="0.69500084838970755"/>
          <c:y val="0.28095368747064486"/>
          <c:w val="0.27500033569376914"/>
          <c:h val="0.6047647170978287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P205 Génisses Année 3</a:t>
            </a:r>
          </a:p>
        </c:rich>
      </c:tx>
      <c:layout>
        <c:manualLayout>
          <c:xMode val="edge"/>
          <c:yMode val="edge"/>
          <c:x val="0.13250016174336152"/>
          <c:y val="2.3809634531410582E-2"/>
        </c:manualLayout>
      </c:layout>
      <c:overlay val="0"/>
      <c:spPr>
        <a:noFill/>
        <a:ln w="25400">
          <a:noFill/>
        </a:ln>
      </c:spPr>
    </c:title>
    <c:autoTitleDeleted val="0"/>
    <c:plotArea>
      <c:layout>
        <c:manualLayout>
          <c:layoutTarget val="inner"/>
          <c:xMode val="edge"/>
          <c:yMode val="edge"/>
          <c:x val="0.13000015869159998"/>
          <c:y val="0.12381009956333502"/>
          <c:w val="0.5275006439216845"/>
          <c:h val="0.70952710903603533"/>
        </c:manualLayout>
      </c:layout>
      <c:scatterChart>
        <c:scatterStyle val="lineMarker"/>
        <c:varyColors val="0"/>
        <c:ser>
          <c:idx val="0"/>
          <c:order val="0"/>
          <c:tx>
            <c:strRef>
              <c:f>Allaitant!$I$29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Allaitant!$D$41:$D$44</c:f>
              <c:numCache>
                <c:formatCode>General</c:formatCode>
                <c:ptCount val="4"/>
                <c:pt idx="0">
                  <c:v>5</c:v>
                </c:pt>
                <c:pt idx="1">
                  <c:v>6</c:v>
                </c:pt>
                <c:pt idx="2">
                  <c:v>7</c:v>
                </c:pt>
                <c:pt idx="3">
                  <c:v>8</c:v>
                </c:pt>
              </c:numCache>
            </c:numRef>
          </c:xVal>
          <c:yVal>
            <c:numRef>
              <c:f>Allaitant!$I$41:$I$44</c:f>
              <c:numCache>
                <c:formatCode>0.0</c:formatCode>
                <c:ptCount val="4"/>
                <c:pt idx="0">
                  <c:v>9</c:v>
                </c:pt>
                <c:pt idx="1">
                  <c:v>11</c:v>
                </c:pt>
                <c:pt idx="2">
                  <c:v>13</c:v>
                </c:pt>
                <c:pt idx="3">
                  <c:v>15</c:v>
                </c:pt>
              </c:numCache>
            </c:numRef>
          </c:yVal>
          <c:smooth val="0"/>
          <c:extLst xmlns:c16r2="http://schemas.microsoft.com/office/drawing/2015/06/chart">
            <c:ext xmlns:c16="http://schemas.microsoft.com/office/drawing/2014/chart" uri="{C3380CC4-5D6E-409C-BE32-E72D297353CC}">
              <c16:uniqueId val="{00000000-F910-4A71-9A5C-6CAA84A4E405}"/>
            </c:ext>
          </c:extLst>
        </c:ser>
        <c:ser>
          <c:idx val="1"/>
          <c:order val="1"/>
          <c:tx>
            <c:strRef>
              <c:f>Allaitant!$J$29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Allaitant!$D$41:$D$44</c:f>
              <c:numCache>
                <c:formatCode>General</c:formatCode>
                <c:ptCount val="4"/>
                <c:pt idx="0">
                  <c:v>5</c:v>
                </c:pt>
                <c:pt idx="1">
                  <c:v>6</c:v>
                </c:pt>
                <c:pt idx="2">
                  <c:v>7</c:v>
                </c:pt>
                <c:pt idx="3">
                  <c:v>8</c:v>
                </c:pt>
              </c:numCache>
            </c:numRef>
          </c:xVal>
          <c:yVal>
            <c:numRef>
              <c:f>Allaitant!$J$41:$J$44</c:f>
              <c:numCache>
                <c:formatCode>0.0</c:formatCode>
                <c:ptCount val="4"/>
                <c:pt idx="0">
                  <c:v>23</c:v>
                </c:pt>
                <c:pt idx="1">
                  <c:v>23</c:v>
                </c:pt>
                <c:pt idx="2">
                  <c:v>23</c:v>
                </c:pt>
                <c:pt idx="3">
                  <c:v>23</c:v>
                </c:pt>
              </c:numCache>
            </c:numRef>
          </c:yVal>
          <c:smooth val="0"/>
          <c:extLst xmlns:c16r2="http://schemas.microsoft.com/office/drawing/2015/06/chart">
            <c:ext xmlns:c16="http://schemas.microsoft.com/office/drawing/2014/chart" uri="{C3380CC4-5D6E-409C-BE32-E72D297353CC}">
              <c16:uniqueId val="{00000001-F910-4A71-9A5C-6CAA84A4E405}"/>
            </c:ext>
          </c:extLst>
        </c:ser>
        <c:ser>
          <c:idx val="2"/>
          <c:order val="2"/>
          <c:tx>
            <c:strRef>
              <c:f>Allaitant!$R$29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Allaitant!$D$41:$D$44</c:f>
              <c:numCache>
                <c:formatCode>General</c:formatCode>
                <c:ptCount val="4"/>
                <c:pt idx="0">
                  <c:v>5</c:v>
                </c:pt>
                <c:pt idx="1">
                  <c:v>6</c:v>
                </c:pt>
                <c:pt idx="2">
                  <c:v>7</c:v>
                </c:pt>
                <c:pt idx="3">
                  <c:v>8</c:v>
                </c:pt>
              </c:numCache>
            </c:numRef>
          </c:xVal>
          <c:yVal>
            <c:numRef>
              <c:f>Allaitant!$R$41:$R$44</c:f>
              <c:numCache>
                <c:formatCode>0.0</c:formatCode>
                <c:ptCount val="4"/>
                <c:pt idx="0">
                  <c:v>10</c:v>
                </c:pt>
                <c:pt idx="1">
                  <c:v>12</c:v>
                </c:pt>
                <c:pt idx="2">
                  <c:v>14</c:v>
                </c:pt>
                <c:pt idx="3">
                  <c:v>16</c:v>
                </c:pt>
              </c:numCache>
            </c:numRef>
          </c:yVal>
          <c:smooth val="0"/>
          <c:extLst xmlns:c16r2="http://schemas.microsoft.com/office/drawing/2015/06/chart">
            <c:ext xmlns:c16="http://schemas.microsoft.com/office/drawing/2014/chart" uri="{C3380CC4-5D6E-409C-BE32-E72D297353CC}">
              <c16:uniqueId val="{00000002-F910-4A71-9A5C-6CAA84A4E405}"/>
            </c:ext>
          </c:extLst>
        </c:ser>
        <c:ser>
          <c:idx val="3"/>
          <c:order val="3"/>
          <c:tx>
            <c:strRef>
              <c:f>Allaitant!$S$29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Allaitant!$D$41:$D$44</c:f>
              <c:numCache>
                <c:formatCode>General</c:formatCode>
                <c:ptCount val="4"/>
                <c:pt idx="0">
                  <c:v>5</c:v>
                </c:pt>
                <c:pt idx="1">
                  <c:v>6</c:v>
                </c:pt>
                <c:pt idx="2">
                  <c:v>7</c:v>
                </c:pt>
                <c:pt idx="3">
                  <c:v>8</c:v>
                </c:pt>
              </c:numCache>
            </c:numRef>
          </c:xVal>
          <c:yVal>
            <c:numRef>
              <c:f>Allaitant!$S$41:$S$44</c:f>
              <c:numCache>
                <c:formatCode>0.0</c:formatCode>
                <c:ptCount val="4"/>
                <c:pt idx="0">
                  <c:v>25</c:v>
                </c:pt>
                <c:pt idx="1">
                  <c:v>25</c:v>
                </c:pt>
                <c:pt idx="2">
                  <c:v>25</c:v>
                </c:pt>
                <c:pt idx="3">
                  <c:v>25</c:v>
                </c:pt>
              </c:numCache>
            </c:numRef>
          </c:yVal>
          <c:smooth val="0"/>
          <c:extLst xmlns:c16r2="http://schemas.microsoft.com/office/drawing/2015/06/chart">
            <c:ext xmlns:c16="http://schemas.microsoft.com/office/drawing/2014/chart" uri="{C3380CC4-5D6E-409C-BE32-E72D297353CC}">
              <c16:uniqueId val="{00000003-F910-4A71-9A5C-6CAA84A4E405}"/>
            </c:ext>
          </c:extLst>
        </c:ser>
        <c:ser>
          <c:idx val="4"/>
          <c:order val="4"/>
          <c:tx>
            <c:strRef>
              <c:f>Allaitant!$AA$29</c:f>
              <c:strCache>
                <c:ptCount val="1"/>
                <c:pt idx="0">
                  <c:v>Non maitrisable</c:v>
                </c:pt>
              </c:strCache>
            </c:strRef>
          </c:tx>
          <c:spPr>
            <a:ln w="28575">
              <a:noFill/>
            </a:ln>
          </c:spPr>
          <c:marker>
            <c:symbol val="circle"/>
            <c:size val="5"/>
            <c:spPr>
              <a:noFill/>
              <a:ln>
                <a:solidFill>
                  <a:srgbClr val="000000"/>
                </a:solidFill>
                <a:prstDash val="solid"/>
              </a:ln>
            </c:spPr>
          </c:marker>
          <c:xVal>
            <c:numRef>
              <c:f>Allaitant!$D$41:$D$44</c:f>
              <c:numCache>
                <c:formatCode>General</c:formatCode>
                <c:ptCount val="4"/>
                <c:pt idx="0">
                  <c:v>5</c:v>
                </c:pt>
                <c:pt idx="1">
                  <c:v>6</c:v>
                </c:pt>
                <c:pt idx="2">
                  <c:v>7</c:v>
                </c:pt>
                <c:pt idx="3">
                  <c:v>8</c:v>
                </c:pt>
              </c:numCache>
            </c:numRef>
          </c:xVal>
          <c:yVal>
            <c:numRef>
              <c:f>Allaitant!$AA$41:$AA$44</c:f>
              <c:numCache>
                <c:formatCode>0.0</c:formatCode>
                <c:ptCount val="4"/>
                <c:pt idx="0">
                  <c:v>11</c:v>
                </c:pt>
                <c:pt idx="1">
                  <c:v>14</c:v>
                </c:pt>
                <c:pt idx="2">
                  <c:v>15</c:v>
                </c:pt>
                <c:pt idx="3">
                  <c:v>18</c:v>
                </c:pt>
              </c:numCache>
            </c:numRef>
          </c:yVal>
          <c:smooth val="0"/>
          <c:extLst xmlns:c16r2="http://schemas.microsoft.com/office/drawing/2015/06/chart">
            <c:ext xmlns:c16="http://schemas.microsoft.com/office/drawing/2014/chart" uri="{C3380CC4-5D6E-409C-BE32-E72D297353CC}">
              <c16:uniqueId val="{00000004-F910-4A71-9A5C-6CAA84A4E405}"/>
            </c:ext>
          </c:extLst>
        </c:ser>
        <c:ser>
          <c:idx val="5"/>
          <c:order val="5"/>
          <c:tx>
            <c:strRef>
              <c:f>Allaitant!$AB$29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Allaitant!$D$41:$D$44</c:f>
              <c:numCache>
                <c:formatCode>General</c:formatCode>
                <c:ptCount val="4"/>
                <c:pt idx="0">
                  <c:v>5</c:v>
                </c:pt>
                <c:pt idx="1">
                  <c:v>6</c:v>
                </c:pt>
                <c:pt idx="2">
                  <c:v>7</c:v>
                </c:pt>
                <c:pt idx="3">
                  <c:v>8</c:v>
                </c:pt>
              </c:numCache>
            </c:numRef>
          </c:xVal>
          <c:yVal>
            <c:numRef>
              <c:f>Allaitant!$AB$41:$AB$44</c:f>
              <c:numCache>
                <c:formatCode>0.0</c:formatCode>
                <c:ptCount val="4"/>
                <c:pt idx="0">
                  <c:v>27</c:v>
                </c:pt>
                <c:pt idx="1">
                  <c:v>27</c:v>
                </c:pt>
                <c:pt idx="2">
                  <c:v>27</c:v>
                </c:pt>
                <c:pt idx="3">
                  <c:v>28</c:v>
                </c:pt>
              </c:numCache>
            </c:numRef>
          </c:yVal>
          <c:smooth val="0"/>
          <c:extLst xmlns:c16r2="http://schemas.microsoft.com/office/drawing/2015/06/chart">
            <c:ext xmlns:c16="http://schemas.microsoft.com/office/drawing/2014/chart" uri="{C3380CC4-5D6E-409C-BE32-E72D297353CC}">
              <c16:uniqueId val="{00000005-F910-4A71-9A5C-6CAA84A4E405}"/>
            </c:ext>
          </c:extLst>
        </c:ser>
        <c:dLbls>
          <c:showLegendKey val="0"/>
          <c:showVal val="0"/>
          <c:showCatName val="0"/>
          <c:showSerName val="0"/>
          <c:showPercent val="0"/>
          <c:showBubbleSize val="0"/>
        </c:dLbls>
        <c:axId val="376148176"/>
        <c:axId val="376148568"/>
      </c:scatterChart>
      <c:valAx>
        <c:axId val="376148176"/>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6148568"/>
        <c:crosses val="autoZero"/>
        <c:crossBetween val="midCat"/>
        <c:majorUnit val="1"/>
        <c:minorUnit val="0.2"/>
      </c:valAx>
      <c:valAx>
        <c:axId val="376148568"/>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6148176"/>
        <c:crossesAt val="5"/>
        <c:crossBetween val="midCat"/>
      </c:valAx>
      <c:spPr>
        <a:noFill/>
        <a:ln w="25400">
          <a:noFill/>
        </a:ln>
      </c:spPr>
    </c:plotArea>
    <c:legend>
      <c:legendPos val="r"/>
      <c:layout>
        <c:manualLayout>
          <c:xMode val="edge"/>
          <c:yMode val="edge"/>
          <c:x val="0.69500084838970755"/>
          <c:y val="0.28095368747064486"/>
          <c:w val="0.27500033569376914"/>
          <c:h val="0.6047647170978287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00.xml><?xml version="1.0" encoding="utf-8"?>
<formControlPr xmlns="http://schemas.microsoft.com/office/spreadsheetml/2009/9/main" objectType="GBox"/>
</file>

<file path=xl/ctrlProps/ctrlProp101.xml><?xml version="1.0" encoding="utf-8"?>
<formControlPr xmlns="http://schemas.microsoft.com/office/spreadsheetml/2009/9/main" objectType="Radio" firstButton="1" fmlaLink="$AC$209"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file>

<file path=xl/ctrlProps/ctrlProp104.xml><?xml version="1.0" encoding="utf-8"?>
<formControlPr xmlns="http://schemas.microsoft.com/office/spreadsheetml/2009/9/main" objectType="GBox"/>
</file>

<file path=xl/ctrlProps/ctrlProp105.xml><?xml version="1.0" encoding="utf-8"?>
<formControlPr xmlns="http://schemas.microsoft.com/office/spreadsheetml/2009/9/main" objectType="Radio" firstButton="1" fmlaLink="$AC$221"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Button" lockText="1"/>
</file>

<file path=xl/ctrlProps/ctrlProp108.xml><?xml version="1.0" encoding="utf-8"?>
<formControlPr xmlns="http://schemas.microsoft.com/office/spreadsheetml/2009/9/main" objectType="Button" lockText="1"/>
</file>

<file path=xl/ctrlProps/ctrlProp109.xml><?xml version="1.0" encoding="utf-8"?>
<formControlPr xmlns="http://schemas.microsoft.com/office/spreadsheetml/2009/9/main" objectType="Button" lockText="1"/>
</file>

<file path=xl/ctrlProps/ctrlProp11.xml><?xml version="1.0" encoding="utf-8"?>
<formControlPr xmlns="http://schemas.microsoft.com/office/spreadsheetml/2009/9/main" objectType="GBox"/>
</file>

<file path=xl/ctrlProps/ctrlProp110.xml><?xml version="1.0" encoding="utf-8"?>
<formControlPr xmlns="http://schemas.microsoft.com/office/spreadsheetml/2009/9/main" objectType="Button" lockText="1"/>
</file>

<file path=xl/ctrlProps/ctrlProp111.xml><?xml version="1.0" encoding="utf-8"?>
<formControlPr xmlns="http://schemas.microsoft.com/office/spreadsheetml/2009/9/main" objectType="Radio" checked="Checked" firstButton="1" fmlaLink="$AB$41"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file>

<file path=xl/ctrlProps/ctrlProp116.xml><?xml version="1.0" encoding="utf-8"?>
<formControlPr xmlns="http://schemas.microsoft.com/office/spreadsheetml/2009/9/main" objectType="Radio" firstButton="1" fmlaLink="$AB$46"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GBox"/>
</file>

<file path=xl/ctrlProps/ctrlProp12.xml><?xml version="1.0" encoding="utf-8"?>
<formControlPr xmlns="http://schemas.microsoft.com/office/spreadsheetml/2009/9/main" objectType="Radio" checked="Checked" firstButton="1" fmlaLink="$AC$55" lockText="1" noThreeD="1"/>
</file>

<file path=xl/ctrlProps/ctrlProp120.xml><?xml version="1.0" encoding="utf-8"?>
<formControlPr xmlns="http://schemas.microsoft.com/office/spreadsheetml/2009/9/main" objectType="Radio" checked="Checked" firstButton="1" fmlaLink="$AB$9"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file>

<file path=xl/ctrlProps/ctrlProp124.xml><?xml version="1.0" encoding="utf-8"?>
<formControlPr xmlns="http://schemas.microsoft.com/office/spreadsheetml/2009/9/main" objectType="GBox"/>
</file>

<file path=xl/ctrlProps/ctrlProp125.xml><?xml version="1.0" encoding="utf-8"?>
<formControlPr xmlns="http://schemas.microsoft.com/office/spreadsheetml/2009/9/main" objectType="Button" lockText="1"/>
</file>

<file path=xl/ctrlProps/ctrlProp126.xml><?xml version="1.0" encoding="utf-8"?>
<formControlPr xmlns="http://schemas.microsoft.com/office/spreadsheetml/2009/9/main" objectType="Button" lockText="1"/>
</file>

<file path=xl/ctrlProps/ctrlProp127.xml><?xml version="1.0" encoding="utf-8"?>
<formControlPr xmlns="http://schemas.microsoft.com/office/spreadsheetml/2009/9/main" objectType="Radio" checked="Checked" firstButton="1" fmlaLink="$AB$5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firstButton="1" fmlaLink="$AB$99"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Spin" dx="22" fmlaLink="$AF$69" max="100" page="10" val="50"/>
</file>

<file path=xl/ctrlProps/ctrlProp133.xml><?xml version="1.0" encoding="utf-8"?>
<formControlPr xmlns="http://schemas.microsoft.com/office/spreadsheetml/2009/9/main" objectType="Spin" dx="22" fmlaLink="$AF$116" max="100" page="10" val="50"/>
</file>

<file path=xl/ctrlProps/ctrlProp134.xml><?xml version="1.0" encoding="utf-8"?>
<formControlPr xmlns="http://schemas.microsoft.com/office/spreadsheetml/2009/9/main" objectType="Button" lockText="1"/>
</file>

<file path=xl/ctrlProps/ctrlProp135.xml><?xml version="1.0" encoding="utf-8"?>
<formControlPr xmlns="http://schemas.microsoft.com/office/spreadsheetml/2009/9/main" objectType="Button" lockText="1"/>
</file>

<file path=xl/ctrlProps/ctrlProp136.xml><?xml version="1.0" encoding="utf-8"?>
<formControlPr xmlns="http://schemas.microsoft.com/office/spreadsheetml/2009/9/main" objectType="Button" lockText="1"/>
</file>

<file path=xl/ctrlProps/ctrlProp137.xml><?xml version="1.0" encoding="utf-8"?>
<formControlPr xmlns="http://schemas.microsoft.com/office/spreadsheetml/2009/9/main" objectType="Button" lockText="1"/>
</file>

<file path=xl/ctrlProps/ctrlProp138.xml><?xml version="1.0" encoding="utf-8"?>
<formControlPr xmlns="http://schemas.microsoft.com/office/spreadsheetml/2009/9/main" objectType="Button" lockText="1"/>
</file>

<file path=xl/ctrlProps/ctrlProp139.xml><?xml version="1.0" encoding="utf-8"?>
<formControlPr xmlns="http://schemas.microsoft.com/office/spreadsheetml/2009/9/main" objectType="Button" lockText="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Radio" firstButton="1" fmlaLink="$AF$41"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GBox"/>
</file>

<file path=xl/ctrlProps/ctrlProp144.xml><?xml version="1.0" encoding="utf-8"?>
<formControlPr xmlns="http://schemas.microsoft.com/office/spreadsheetml/2009/9/main" objectType="Button" lockText="1"/>
</file>

<file path=xl/ctrlProps/ctrlProp145.xml><?xml version="1.0" encoding="utf-8"?>
<formControlPr xmlns="http://schemas.microsoft.com/office/spreadsheetml/2009/9/main" objectType="Button" lockText="1"/>
</file>

<file path=xl/ctrlProps/ctrlProp146.xml><?xml version="1.0" encoding="utf-8"?>
<formControlPr xmlns="http://schemas.microsoft.com/office/spreadsheetml/2009/9/main" objectType="Button" lockText="1"/>
</file>

<file path=xl/ctrlProps/ctrlProp147.xml><?xml version="1.0" encoding="utf-8"?>
<formControlPr xmlns="http://schemas.microsoft.com/office/spreadsheetml/2009/9/main" objectType="Button" lockText="1"/>
</file>

<file path=xl/ctrlProps/ctrlProp148.xml><?xml version="1.0" encoding="utf-8"?>
<formControlPr xmlns="http://schemas.microsoft.com/office/spreadsheetml/2009/9/main" objectType="Button" lockText="1"/>
</file>

<file path=xl/ctrlProps/ctrlProp149.xml><?xml version="1.0" encoding="utf-8"?>
<formControlPr xmlns="http://schemas.microsoft.com/office/spreadsheetml/2009/9/main" objectType="Button" lockText="1"/>
</file>

<file path=xl/ctrlProps/ctrlProp15.xml><?xml version="1.0" encoding="utf-8"?>
<formControlPr xmlns="http://schemas.microsoft.com/office/spreadsheetml/2009/9/main" objectType="Radio" checked="Checked" firstButton="1" fmlaLink="$AC$62" lockText="1" noThreeD="1"/>
</file>

<file path=xl/ctrlProps/ctrlProp150.xml><?xml version="1.0" encoding="utf-8"?>
<formControlPr xmlns="http://schemas.microsoft.com/office/spreadsheetml/2009/9/main" objectType="Button" lockText="1"/>
</file>

<file path=xl/ctrlProps/ctrlProp151.xml><?xml version="1.0" encoding="utf-8"?>
<formControlPr xmlns="http://schemas.microsoft.com/office/spreadsheetml/2009/9/main" objectType="Button" lockText="1"/>
</file>

<file path=xl/ctrlProps/ctrlProp152.xml><?xml version="1.0" encoding="utf-8"?>
<formControlPr xmlns="http://schemas.microsoft.com/office/spreadsheetml/2009/9/main" objectType="Button" lockText="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checked="Checked" firstButton="1" fmlaLink="$AC$70"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file>

<file path=xl/ctrlProps/ctrlProp23.xml><?xml version="1.0" encoding="utf-8"?>
<formControlPr xmlns="http://schemas.microsoft.com/office/spreadsheetml/2009/9/main" objectType="Radio" checked="Checked" firstButton="1" fmlaLink="$AC$93"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file>

<file path=xl/ctrlProps/ctrlProp27.xml><?xml version="1.0" encoding="utf-8"?>
<formControlPr xmlns="http://schemas.microsoft.com/office/spreadsheetml/2009/9/main" objectType="Radio" firstButton="1" fmlaLink="$AC$102"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firstButton="1" fmlaLink="$AC$143" lockText="1" noThreeD="1"/>
</file>

<file path=xl/ctrlProps/ctrlProp30.xml><?xml version="1.0" encoding="utf-8"?>
<formControlPr xmlns="http://schemas.microsoft.com/office/spreadsheetml/2009/9/main" objectType="GBox"/>
</file>

<file path=xl/ctrlProps/ctrlProp31.xml><?xml version="1.0" encoding="utf-8"?>
<formControlPr xmlns="http://schemas.microsoft.com/office/spreadsheetml/2009/9/main" objectType="Radio" firstButton="1" fmlaLink="$AC$175"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file>

<file path=xl/ctrlProps/ctrlProp36.xml><?xml version="1.0" encoding="utf-8"?>
<formControlPr xmlns="http://schemas.microsoft.com/office/spreadsheetml/2009/9/main" objectType="Radio" firstButton="1" fmlaLink="$AC$63" lockText="1" noThreeD="1"/>
</file>

<file path=xl/ctrlProps/ctrlProp37.xml><?xml version="1.0" encoding="utf-8"?>
<formControlPr xmlns="http://schemas.microsoft.com/office/spreadsheetml/2009/9/main" objectType="Radio" checked="Checked" lockText="1" noThreeD="1"/>
</file>

<file path=xl/ctrlProps/ctrlProp38.xml><?xml version="1.0" encoding="utf-8"?>
<formControlPr xmlns="http://schemas.microsoft.com/office/spreadsheetml/2009/9/main" objectType="GBox"/>
</file>

<file path=xl/ctrlProps/ctrlProp39.xml><?xml version="1.0" encoding="utf-8"?>
<formControlPr xmlns="http://schemas.microsoft.com/office/spreadsheetml/2009/9/main" objectType="Radio" firstButton="1" fmlaLink="$AC$176"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checked="Checked"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firstButton="1" fmlaLink="$AC$184"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checked="Checked"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file>

<file path=xl/ctrlProps/ctrlProp48.xml><?xml version="1.0" encoding="utf-8"?>
<formControlPr xmlns="http://schemas.microsoft.com/office/spreadsheetml/2009/9/main" objectType="GBox"/>
</file>

<file path=xl/ctrlProps/ctrlProp49.xml><?xml version="1.0" encoding="utf-8"?>
<formControlPr xmlns="http://schemas.microsoft.com/office/spreadsheetml/2009/9/main" objectType="Radio" firstButton="1" fmlaLink="$AC$185"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firstButton="1" fmlaLink="$AC$186" lockText="1" noThreeD="1"/>
</file>

<file path=xl/ctrlProps/ctrlProp52.xml><?xml version="1.0" encoding="utf-8"?>
<formControlPr xmlns="http://schemas.microsoft.com/office/spreadsheetml/2009/9/main" objectType="Radio" checked="Checked" lockText="1" noThreeD="1"/>
</file>

<file path=xl/ctrlProps/ctrlProp53.xml><?xml version="1.0" encoding="utf-8"?>
<formControlPr xmlns="http://schemas.microsoft.com/office/spreadsheetml/2009/9/main" objectType="Radio" firstButton="1" fmlaLink="$AC$188" lockText="1" noThreeD="1"/>
</file>

<file path=xl/ctrlProps/ctrlProp54.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GBox"/>
</file>

<file path=xl/ctrlProps/ctrlProp56.xml><?xml version="1.0" encoding="utf-8"?>
<formControlPr xmlns="http://schemas.microsoft.com/office/spreadsheetml/2009/9/main" objectType="Radio" firstButton="1" fmlaLink="$AC$190" lockText="1" noThreeD="1"/>
</file>

<file path=xl/ctrlProps/ctrlProp57.xml><?xml version="1.0" encoding="utf-8"?>
<formControlPr xmlns="http://schemas.microsoft.com/office/spreadsheetml/2009/9/main" objectType="Radio" checked="Checked" lockText="1" noThreeD="1"/>
</file>

<file path=xl/ctrlProps/ctrlProp58.xml><?xml version="1.0" encoding="utf-8"?>
<formControlPr xmlns="http://schemas.microsoft.com/office/spreadsheetml/2009/9/main" objectType="GBox"/>
</file>

<file path=xl/ctrlProps/ctrlProp59.xml><?xml version="1.0" encoding="utf-8"?>
<formControlPr xmlns="http://schemas.microsoft.com/office/spreadsheetml/2009/9/main" objectType="Radio" firstButton="1" fmlaLink="$AC$206" lockText="1" noThreeD="1"/>
</file>

<file path=xl/ctrlProps/ctrlProp6.xml><?xml version="1.0" encoding="utf-8"?>
<formControlPr xmlns="http://schemas.microsoft.com/office/spreadsheetml/2009/9/main" objectType="Radio" checked="Checked" firstButton="1" fmlaLink="$AC$45"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GBox"/>
</file>

<file path=xl/ctrlProps/ctrlProp62.xml><?xml version="1.0" encoding="utf-8"?>
<formControlPr xmlns="http://schemas.microsoft.com/office/spreadsheetml/2009/9/main" objectType="Radio" firstButton="1" fmlaLink="$AC$21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GBox"/>
</file>

<file path=xl/ctrlProps/ctrlProp65.xml><?xml version="1.0" encoding="utf-8"?>
<formControlPr xmlns="http://schemas.microsoft.com/office/spreadsheetml/2009/9/main" objectType="Radio" firstButton="1" fmlaLink="$AC$223"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GBox"/>
</file>

<file path=xl/ctrlProps/ctrlProp69.xml><?xml version="1.0" encoding="utf-8"?>
<formControlPr xmlns="http://schemas.microsoft.com/office/spreadsheetml/2009/9/main" objectType="Radio" firstButton="1" fmlaLink="$AC$189"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checked="Checked" lockText="1" noThreeD="1"/>
</file>

<file path=xl/ctrlProps/ctrlProp71.xml><?xml version="1.0" encoding="utf-8"?>
<formControlPr xmlns="http://schemas.microsoft.com/office/spreadsheetml/2009/9/main" objectType="Button" lockText="1"/>
</file>

<file path=xl/ctrlProps/ctrlProp72.xml><?xml version="1.0" encoding="utf-8"?>
<formControlPr xmlns="http://schemas.microsoft.com/office/spreadsheetml/2009/9/main" objectType="GBox"/>
</file>

<file path=xl/ctrlProps/ctrlProp73.xml><?xml version="1.0" encoding="utf-8"?>
<formControlPr xmlns="http://schemas.microsoft.com/office/spreadsheetml/2009/9/main" objectType="Radio" checked="Checked" firstButton="1" fmlaLink="$AC$164"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checked="Checked" firstButton="1" fmlaLink="$AC$165"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file>

<file path=xl/ctrlProps/ctrlProp8.xml><?xml version="1.0" encoding="utf-8"?>
<formControlPr xmlns="http://schemas.microsoft.com/office/spreadsheetml/2009/9/main" objectType="Radio" firstButton="1" fmlaLink="$AC$171" lockText="1" noThreeD="1"/>
</file>

<file path=xl/ctrlProps/ctrlProp80.xml><?xml version="1.0" encoding="utf-8"?>
<formControlPr xmlns="http://schemas.microsoft.com/office/spreadsheetml/2009/9/main" objectType="Radio" firstButton="1" fmlaLink="$AC$172"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file>

<file path=xl/ctrlProps/ctrlProp85.xml><?xml version="1.0" encoding="utf-8"?>
<formControlPr xmlns="http://schemas.microsoft.com/office/spreadsheetml/2009/9/main" objectType="Radio" checked="Checked" firstButton="1" fmlaLink="$AC$166"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file>

<file path=xl/ctrlProps/ctrlProp88.xml><?xml version="1.0" encoding="utf-8"?>
<formControlPr xmlns="http://schemas.microsoft.com/office/spreadsheetml/2009/9/main" objectType="Radio" firstButton="1" fmlaLink="$AC$285"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GBox"/>
</file>

<file path=xl/ctrlProps/ctrlProp91.xml><?xml version="1.0" encoding="utf-8"?>
<formControlPr xmlns="http://schemas.microsoft.com/office/spreadsheetml/2009/9/main" objectType="GBox"/>
</file>

<file path=xl/ctrlProps/ctrlProp92.xml><?xml version="1.0" encoding="utf-8"?>
<formControlPr xmlns="http://schemas.microsoft.com/office/spreadsheetml/2009/9/main" objectType="Radio" firstButton="1" fmlaLink="$AC$224"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GBox"/>
</file>

<file path=xl/ctrlProps/ctrlProp96.xml><?xml version="1.0" encoding="utf-8"?>
<formControlPr xmlns="http://schemas.microsoft.com/office/spreadsheetml/2009/9/main" objectType="GBox"/>
</file>

<file path=xl/ctrlProps/ctrlProp97.xml><?xml version="1.0" encoding="utf-8"?>
<formControlPr xmlns="http://schemas.microsoft.com/office/spreadsheetml/2009/9/main" objectType="Button" lockText="1"/>
</file>

<file path=xl/ctrlProps/ctrlProp98.xml><?xml version="1.0" encoding="utf-8"?>
<formControlPr xmlns="http://schemas.microsoft.com/office/spreadsheetml/2009/9/main" objectType="Radio" firstButton="1" fmlaLink="$AC$212"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1329970</xdr:colOff>
      <xdr:row>0</xdr:row>
      <xdr:rowOff>60295</xdr:rowOff>
    </xdr:from>
    <xdr:to>
      <xdr:col>2</xdr:col>
      <xdr:colOff>657545</xdr:colOff>
      <xdr:row>2</xdr:row>
      <xdr:rowOff>138895</xdr:rowOff>
    </xdr:to>
    <xdr:pic>
      <xdr:nvPicPr>
        <xdr:cNvPr id="3" name="Image 2" descr="Logo AGROCAMPUS OUEST.jpg"/>
        <xdr:cNvPicPr>
          <a:picLocks noChangeAspect="1"/>
        </xdr:cNvPicPr>
      </xdr:nvPicPr>
      <xdr:blipFill>
        <a:blip xmlns:r="http://schemas.openxmlformats.org/officeDocument/2006/relationships" r:embed="rId1" cstate="print"/>
        <a:stretch>
          <a:fillRect/>
        </a:stretch>
      </xdr:blipFill>
      <xdr:spPr>
        <a:xfrm>
          <a:off x="1329970" y="60295"/>
          <a:ext cx="880150" cy="612000"/>
        </a:xfrm>
        <a:prstGeom prst="rect">
          <a:avLst/>
        </a:prstGeom>
      </xdr:spPr>
    </xdr:pic>
    <xdr:clientData/>
  </xdr:twoCellAnchor>
  <xdr:twoCellAnchor editAs="oneCell">
    <xdr:from>
      <xdr:col>0</xdr:col>
      <xdr:colOff>66675</xdr:colOff>
      <xdr:row>0</xdr:row>
      <xdr:rowOff>0</xdr:rowOff>
    </xdr:from>
    <xdr:to>
      <xdr:col>0</xdr:col>
      <xdr:colOff>1216279</xdr:colOff>
      <xdr:row>2</xdr:row>
      <xdr:rowOff>161925</xdr:rowOff>
    </xdr:to>
    <xdr:pic>
      <xdr:nvPicPr>
        <xdr:cNvPr id="5" name="Image 4"/>
        <xdr:cNvPicPr>
          <a:picLocks noChangeAspect="1"/>
        </xdr:cNvPicPr>
      </xdr:nvPicPr>
      <xdr:blipFill>
        <a:blip xmlns:r="http://schemas.openxmlformats.org/officeDocument/2006/relationships" r:embed="rId2"/>
        <a:stretch>
          <a:fillRect/>
        </a:stretch>
      </xdr:blipFill>
      <xdr:spPr>
        <a:xfrm>
          <a:off x="66675" y="0"/>
          <a:ext cx="1149604" cy="6953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257175</xdr:colOff>
          <xdr:row>0</xdr:row>
          <xdr:rowOff>9525</xdr:rowOff>
        </xdr:from>
        <xdr:to>
          <xdr:col>12</xdr:col>
          <xdr:colOff>66675</xdr:colOff>
          <xdr:row>0</xdr:row>
          <xdr:rowOff>209550</xdr:rowOff>
        </xdr:to>
        <xdr:sp macro="" textlink="">
          <xdr:nvSpPr>
            <xdr:cNvPr id="69633" name="Button 1" hidden="1">
              <a:extLst>
                <a:ext uri="{63B3BB69-23CF-44E3-9099-C40C66FF867C}">
                  <a14:compatExt spid="_x0000_s69633"/>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sur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114300</xdr:colOff>
          <xdr:row>0</xdr:row>
          <xdr:rowOff>0</xdr:rowOff>
        </xdr:from>
        <xdr:to>
          <xdr:col>14</xdr:col>
          <xdr:colOff>495300</xdr:colOff>
          <xdr:row>3</xdr:row>
          <xdr:rowOff>38100</xdr:rowOff>
        </xdr:to>
        <xdr:sp macro="" textlink="">
          <xdr:nvSpPr>
            <xdr:cNvPr id="69634" name="Button 2" hidden="1">
              <a:extLst>
                <a:ext uri="{63B3BB69-23CF-44E3-9099-C40C66FF867C}">
                  <a14:compatExt spid="_x0000_s69634"/>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twoCellAnchor>
    <xdr:from>
      <xdr:col>3</xdr:col>
      <xdr:colOff>295275</xdr:colOff>
      <xdr:row>5</xdr:row>
      <xdr:rowOff>152400</xdr:rowOff>
    </xdr:from>
    <xdr:to>
      <xdr:col>3</xdr:col>
      <xdr:colOff>295275</xdr:colOff>
      <xdr:row>7</xdr:row>
      <xdr:rowOff>9525</xdr:rowOff>
    </xdr:to>
    <xdr:cxnSp macro="">
      <xdr:nvCxnSpPr>
        <xdr:cNvPr id="5" name="Connecteur droit avec flèche 4"/>
        <xdr:cNvCxnSpPr/>
      </xdr:nvCxnSpPr>
      <xdr:spPr>
        <a:xfrm>
          <a:off x="2647950" y="1123950"/>
          <a:ext cx="0" cy="1809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1162050</xdr:colOff>
          <xdr:row>0</xdr:row>
          <xdr:rowOff>9525</xdr:rowOff>
        </xdr:from>
        <xdr:to>
          <xdr:col>9</xdr:col>
          <xdr:colOff>247650</xdr:colOff>
          <xdr:row>2</xdr:row>
          <xdr:rowOff>66675</xdr:rowOff>
        </xdr:to>
        <xdr:sp macro="" textlink="">
          <xdr:nvSpPr>
            <xdr:cNvPr id="87055" name="Button 15" hidden="1">
              <a:extLst>
                <a:ext uri="{63B3BB69-23CF-44E3-9099-C40C66FF867C}">
                  <a14:compatExt spid="_x0000_s8705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4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476250</xdr:colOff>
          <xdr:row>0</xdr:row>
          <xdr:rowOff>0</xdr:rowOff>
        </xdr:from>
        <xdr:to>
          <xdr:col>11</xdr:col>
          <xdr:colOff>600075</xdr:colOff>
          <xdr:row>3</xdr:row>
          <xdr:rowOff>38100</xdr:rowOff>
        </xdr:to>
        <xdr:sp macro="" textlink="">
          <xdr:nvSpPr>
            <xdr:cNvPr id="87056" name="Button 16" hidden="1">
              <a:extLst>
                <a:ext uri="{63B3BB69-23CF-44E3-9099-C40C66FF867C}">
                  <a14:compatExt spid="_x0000_s87056"/>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895350</xdr:colOff>
          <xdr:row>0</xdr:row>
          <xdr:rowOff>0</xdr:rowOff>
        </xdr:from>
        <xdr:to>
          <xdr:col>6</xdr:col>
          <xdr:colOff>1200150</xdr:colOff>
          <xdr:row>3</xdr:row>
          <xdr:rowOff>0</xdr:rowOff>
        </xdr:to>
        <xdr:sp macro="" textlink="">
          <xdr:nvSpPr>
            <xdr:cNvPr id="95233" name="Button 1" hidden="1">
              <a:extLst>
                <a:ext uri="{63B3BB69-23CF-44E3-9099-C40C66FF867C}">
                  <a14:compatExt spid="_x0000_s95233"/>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36</xdr:col>
      <xdr:colOff>123825</xdr:colOff>
      <xdr:row>43</xdr:row>
      <xdr:rowOff>133350</xdr:rowOff>
    </xdr:from>
    <xdr:to>
      <xdr:col>39</xdr:col>
      <xdr:colOff>723900</xdr:colOff>
      <xdr:row>58</xdr:row>
      <xdr:rowOff>33339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xdr:from>
          <xdr:col>7</xdr:col>
          <xdr:colOff>247650</xdr:colOff>
          <xdr:row>0</xdr:row>
          <xdr:rowOff>0</xdr:rowOff>
        </xdr:from>
        <xdr:to>
          <xdr:col>9</xdr:col>
          <xdr:colOff>104775</xdr:colOff>
          <xdr:row>1</xdr:row>
          <xdr:rowOff>95250</xdr:rowOff>
        </xdr:to>
        <xdr:sp macro="" textlink="">
          <xdr:nvSpPr>
            <xdr:cNvPr id="102401" name="Button 1" hidden="1">
              <a:extLst>
                <a:ext uri="{63B3BB69-23CF-44E3-9099-C40C66FF867C}">
                  <a14:compatExt spid="_x0000_s10240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781050</xdr:colOff>
          <xdr:row>0</xdr:row>
          <xdr:rowOff>0</xdr:rowOff>
        </xdr:from>
        <xdr:to>
          <xdr:col>5</xdr:col>
          <xdr:colOff>361950</xdr:colOff>
          <xdr:row>0</xdr:row>
          <xdr:rowOff>428625</xdr:rowOff>
        </xdr:to>
        <xdr:sp macro="" textlink="">
          <xdr:nvSpPr>
            <xdr:cNvPr id="102405" name="Button 5" descr="Effacer les données de la feuille" hidden="1">
              <a:extLst>
                <a:ext uri="{63B3BB69-23CF-44E3-9099-C40C66FF867C}">
                  <a14:compatExt spid="_x0000_s10240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4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371475</xdr:colOff>
          <xdr:row>0</xdr:row>
          <xdr:rowOff>0</xdr:rowOff>
        </xdr:from>
        <xdr:to>
          <xdr:col>11</xdr:col>
          <xdr:colOff>723900</xdr:colOff>
          <xdr:row>3</xdr:row>
          <xdr:rowOff>28575</xdr:rowOff>
        </xdr:to>
        <xdr:sp macro="" textlink="">
          <xdr:nvSpPr>
            <xdr:cNvPr id="112641" name="Button 1" hidden="1">
              <a:extLst>
                <a:ext uri="{63B3BB69-23CF-44E3-9099-C40C66FF867C}">
                  <a14:compatExt spid="_x0000_s11264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371475</xdr:colOff>
          <xdr:row>0</xdr:row>
          <xdr:rowOff>0</xdr:rowOff>
        </xdr:from>
        <xdr:to>
          <xdr:col>11</xdr:col>
          <xdr:colOff>723900</xdr:colOff>
          <xdr:row>3</xdr:row>
          <xdr:rowOff>28575</xdr:rowOff>
        </xdr:to>
        <xdr:sp macro="" textlink="">
          <xdr:nvSpPr>
            <xdr:cNvPr id="123905" name="Button 1" hidden="1">
              <a:extLst>
                <a:ext uri="{63B3BB69-23CF-44E3-9099-C40C66FF867C}">
                  <a14:compatExt spid="_x0000_s12390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7</xdr:col>
      <xdr:colOff>66675</xdr:colOff>
      <xdr:row>59</xdr:row>
      <xdr:rowOff>114300</xdr:rowOff>
    </xdr:from>
    <xdr:to>
      <xdr:col>9</xdr:col>
      <xdr:colOff>276225</xdr:colOff>
      <xdr:row>61</xdr:row>
      <xdr:rowOff>0</xdr:rowOff>
    </xdr:to>
    <xdr:sp macro="" textlink="">
      <xdr:nvSpPr>
        <xdr:cNvPr id="2049" name="AutoShape 1"/>
        <xdr:cNvSpPr>
          <a:spLocks/>
        </xdr:cNvSpPr>
      </xdr:nvSpPr>
      <xdr:spPr bwMode="auto">
        <a:xfrm>
          <a:off x="3962400" y="7858125"/>
          <a:ext cx="1285875" cy="209550"/>
        </a:xfrm>
        <a:prstGeom prst="borderCallout2">
          <a:avLst>
            <a:gd name="adj1" fmla="val 54546"/>
            <a:gd name="adj2" fmla="val -5926"/>
            <a:gd name="adj3" fmla="val 54546"/>
            <a:gd name="adj4" fmla="val -71852"/>
            <a:gd name="adj5" fmla="val 281819"/>
            <a:gd name="adj6" fmla="val -71852"/>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27432" bIns="0" anchor="t" upright="1"/>
        <a:lstStyle/>
        <a:p>
          <a:pPr algn="ctr" rtl="0">
            <a:defRPr sz="1000"/>
          </a:pPr>
          <a:r>
            <a:rPr lang="fr-FR" sz="1000" b="0" i="0" u="none" strike="noStrike" baseline="0">
              <a:solidFill>
                <a:srgbClr val="FF0000"/>
              </a:solidFill>
              <a:latin typeface="Arial"/>
              <a:cs typeface="Arial"/>
            </a:rPr>
            <a:t>valeurs par mois</a:t>
          </a:r>
        </a:p>
        <a:p>
          <a:pPr algn="ctr" rtl="0">
            <a:defRPr sz="1000"/>
          </a:pPr>
          <a:endParaRPr lang="fr-FR" sz="1000" b="0" i="0" u="none" strike="noStrike" baseline="0">
            <a:solidFill>
              <a:srgbClr val="FF0000"/>
            </a:solidFill>
            <a:latin typeface="Arial"/>
            <a:cs typeface="Arial"/>
          </a:endParaRPr>
        </a:p>
      </xdr:txBody>
    </xdr:sp>
    <xdr:clientData/>
  </xdr:twoCellAnchor>
  <xdr:twoCellAnchor>
    <xdr:from>
      <xdr:col>7</xdr:col>
      <xdr:colOff>19050</xdr:colOff>
      <xdr:row>118</xdr:row>
      <xdr:rowOff>85725</xdr:rowOff>
    </xdr:from>
    <xdr:to>
      <xdr:col>11</xdr:col>
      <xdr:colOff>114300</xdr:colOff>
      <xdr:row>120</xdr:row>
      <xdr:rowOff>114300</xdr:rowOff>
    </xdr:to>
    <xdr:sp macro="" textlink="">
      <xdr:nvSpPr>
        <xdr:cNvPr id="2050" name="AutoShape 2"/>
        <xdr:cNvSpPr>
          <a:spLocks/>
        </xdr:cNvSpPr>
      </xdr:nvSpPr>
      <xdr:spPr bwMode="auto">
        <a:xfrm>
          <a:off x="3914775" y="17183100"/>
          <a:ext cx="1914525" cy="361950"/>
        </a:xfrm>
        <a:prstGeom prst="borderCallout2">
          <a:avLst>
            <a:gd name="adj1" fmla="val 31579"/>
            <a:gd name="adj2" fmla="val -3981"/>
            <a:gd name="adj3" fmla="val 31579"/>
            <a:gd name="adj4" fmla="val -13931"/>
            <a:gd name="adj5" fmla="val 173685"/>
            <a:gd name="adj6" fmla="val -21394"/>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FF0000"/>
              </a:solidFill>
              <a:latin typeface="Arial"/>
              <a:cs typeface="Arial"/>
            </a:rPr>
            <a:t>calcul à partir de valeurs par mois</a:t>
          </a:r>
        </a:p>
        <a:p>
          <a:pPr algn="l" rtl="0">
            <a:defRPr sz="1000"/>
          </a:pPr>
          <a:endParaRPr lang="fr-FR" sz="1000" b="0" i="0" u="none" strike="noStrike" baseline="0">
            <a:solidFill>
              <a:srgbClr val="FF0000"/>
            </a:solidFill>
            <a:latin typeface="Arial"/>
            <a:cs typeface="Arial"/>
          </a:endParaRPr>
        </a:p>
      </xdr:txBody>
    </xdr:sp>
    <xdr:clientData/>
  </xdr:twoCellAnchor>
  <xdr:twoCellAnchor>
    <xdr:from>
      <xdr:col>2</xdr:col>
      <xdr:colOff>342900</xdr:colOff>
      <xdr:row>104</xdr:row>
      <xdr:rowOff>38100</xdr:rowOff>
    </xdr:from>
    <xdr:to>
      <xdr:col>3</xdr:col>
      <xdr:colOff>600075</xdr:colOff>
      <xdr:row>106</xdr:row>
      <xdr:rowOff>104775</xdr:rowOff>
    </xdr:to>
    <xdr:sp macro="" textlink="">
      <xdr:nvSpPr>
        <xdr:cNvPr id="2052" name="AutoShape 4"/>
        <xdr:cNvSpPr>
          <a:spLocks/>
        </xdr:cNvSpPr>
      </xdr:nvSpPr>
      <xdr:spPr bwMode="auto">
        <a:xfrm>
          <a:off x="1047750" y="14811375"/>
          <a:ext cx="1200150" cy="400050"/>
        </a:xfrm>
        <a:prstGeom prst="borderCallout2">
          <a:avLst>
            <a:gd name="adj1" fmla="val 28569"/>
            <a:gd name="adj2" fmla="val 106347"/>
            <a:gd name="adj3" fmla="val 28569"/>
            <a:gd name="adj4" fmla="val 140477"/>
            <a:gd name="adj5" fmla="val 297620"/>
            <a:gd name="adj6" fmla="val 168255"/>
          </a:avLst>
        </a:prstGeom>
        <a:solidFill>
          <a:srgbClr xmlns:mc="http://schemas.openxmlformats.org/markup-compatibility/2006" xmlns:a14="http://schemas.microsoft.com/office/drawing/2010/main" val="CC99FF" mc:Ignorable="a14" a14:legacySpreadsheetColorIndex="46"/>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calcul à partir d'équations linéaires</a:t>
          </a:r>
        </a:p>
      </xdr:txBody>
    </xdr:sp>
    <xdr:clientData/>
  </xdr:twoCellAnchor>
  <xdr:twoCellAnchor>
    <xdr:from>
      <xdr:col>25</xdr:col>
      <xdr:colOff>19050</xdr:colOff>
      <xdr:row>125</xdr:row>
      <xdr:rowOff>85725</xdr:rowOff>
    </xdr:from>
    <xdr:to>
      <xdr:col>27</xdr:col>
      <xdr:colOff>285750</xdr:colOff>
      <xdr:row>128</xdr:row>
      <xdr:rowOff>66675</xdr:rowOff>
    </xdr:to>
    <xdr:sp macro="" textlink="">
      <xdr:nvSpPr>
        <xdr:cNvPr id="2053" name="AutoShape 5"/>
        <xdr:cNvSpPr>
          <a:spLocks/>
        </xdr:cNvSpPr>
      </xdr:nvSpPr>
      <xdr:spPr bwMode="auto">
        <a:xfrm>
          <a:off x="13077825" y="18202275"/>
          <a:ext cx="1762125" cy="352425"/>
        </a:xfrm>
        <a:prstGeom prst="borderCallout1">
          <a:avLst>
            <a:gd name="adj1" fmla="val 32431"/>
            <a:gd name="adj2" fmla="val -4324"/>
            <a:gd name="adj3" fmla="val -113514"/>
            <a:gd name="adj4" fmla="val -2919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Nombre de mois en année 3 avant vélage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34</xdr:col>
      <xdr:colOff>0</xdr:colOff>
      <xdr:row>22</xdr:row>
      <xdr:rowOff>0</xdr:rowOff>
    </xdr:from>
    <xdr:to>
      <xdr:col>39</xdr:col>
      <xdr:colOff>0</xdr:colOff>
      <xdr:row>37</xdr:row>
      <xdr:rowOff>0</xdr:rowOff>
    </xdr:to>
    <xdr:graphicFrame macro="">
      <xdr:nvGraphicFramePr>
        <xdr:cNvPr id="1331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39</xdr:col>
      <xdr:colOff>0</xdr:colOff>
      <xdr:row>22</xdr:row>
      <xdr:rowOff>0</xdr:rowOff>
    </xdr:from>
    <xdr:to>
      <xdr:col>44</xdr:col>
      <xdr:colOff>0</xdr:colOff>
      <xdr:row>37</xdr:row>
      <xdr:rowOff>0</xdr:rowOff>
    </xdr:to>
    <xdr:graphicFrame macro="">
      <xdr:nvGraphicFramePr>
        <xdr:cNvPr id="13314"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0</xdr:colOff>
      <xdr:row>37</xdr:row>
      <xdr:rowOff>0</xdr:rowOff>
    </xdr:from>
    <xdr:to>
      <xdr:col>39</xdr:col>
      <xdr:colOff>0</xdr:colOff>
      <xdr:row>50</xdr:row>
      <xdr:rowOff>0</xdr:rowOff>
    </xdr:to>
    <xdr:graphicFrame macro="">
      <xdr:nvGraphicFramePr>
        <xdr:cNvPr id="13316"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39</xdr:col>
      <xdr:colOff>0</xdr:colOff>
      <xdr:row>37</xdr:row>
      <xdr:rowOff>0</xdr:rowOff>
    </xdr:from>
    <xdr:to>
      <xdr:col>44</xdr:col>
      <xdr:colOff>0</xdr:colOff>
      <xdr:row>50</xdr:row>
      <xdr:rowOff>0</xdr:rowOff>
    </xdr:to>
    <xdr:graphicFrame macro="">
      <xdr:nvGraphicFramePr>
        <xdr:cNvPr id="13317"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34</xdr:col>
      <xdr:colOff>0</xdr:colOff>
      <xdr:row>50</xdr:row>
      <xdr:rowOff>0</xdr:rowOff>
    </xdr:from>
    <xdr:to>
      <xdr:col>39</xdr:col>
      <xdr:colOff>0</xdr:colOff>
      <xdr:row>62</xdr:row>
      <xdr:rowOff>0</xdr:rowOff>
    </xdr:to>
    <xdr:graphicFrame macro="">
      <xdr:nvGraphicFramePr>
        <xdr:cNvPr id="13318"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39</xdr:col>
      <xdr:colOff>0</xdr:colOff>
      <xdr:row>50</xdr:row>
      <xdr:rowOff>0</xdr:rowOff>
    </xdr:from>
    <xdr:to>
      <xdr:col>44</xdr:col>
      <xdr:colOff>0</xdr:colOff>
      <xdr:row>62</xdr:row>
      <xdr:rowOff>0</xdr:rowOff>
    </xdr:to>
    <xdr:graphicFrame macro="">
      <xdr:nvGraphicFramePr>
        <xdr:cNvPr id="13319"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190500</xdr:colOff>
      <xdr:row>63</xdr:row>
      <xdr:rowOff>0</xdr:rowOff>
    </xdr:from>
    <xdr:to>
      <xdr:col>3</xdr:col>
      <xdr:colOff>9525</xdr:colOff>
      <xdr:row>65</xdr:row>
      <xdr:rowOff>133350</xdr:rowOff>
    </xdr:to>
    <xdr:sp macro="" textlink="">
      <xdr:nvSpPr>
        <xdr:cNvPr id="13320" name="AutoShape 8"/>
        <xdr:cNvSpPr>
          <a:spLocks/>
        </xdr:cNvSpPr>
      </xdr:nvSpPr>
      <xdr:spPr bwMode="auto">
        <a:xfrm>
          <a:off x="190500" y="8658225"/>
          <a:ext cx="1390650" cy="342900"/>
        </a:xfrm>
        <a:prstGeom prst="borderCallout2">
          <a:avLst>
            <a:gd name="adj1" fmla="val 33333"/>
            <a:gd name="adj2" fmla="val 105481"/>
            <a:gd name="adj3" fmla="val 33333"/>
            <a:gd name="adj4" fmla="val 160958"/>
            <a:gd name="adj5" fmla="val 277778"/>
            <a:gd name="adj6" fmla="val 206847"/>
          </a:avLst>
        </a:prstGeom>
        <a:solidFill>
          <a:srgbClr xmlns:mc="http://schemas.openxmlformats.org/markup-compatibility/2006" xmlns:a14="http://schemas.microsoft.com/office/drawing/2010/main" val="CC99FF" mc:Ignorable="a14" a14:legacySpreadsheetColorIndex="46"/>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calcul à partir d'équations linéaires</a:t>
          </a:r>
        </a:p>
      </xdr:txBody>
    </xdr:sp>
    <xdr:clientData/>
  </xdr:twoCellAnchor>
  <xdr:twoCellAnchor>
    <xdr:from>
      <xdr:col>31</xdr:col>
      <xdr:colOff>304800</xdr:colOff>
      <xdr:row>68</xdr:row>
      <xdr:rowOff>0</xdr:rowOff>
    </xdr:from>
    <xdr:to>
      <xdr:col>31</xdr:col>
      <xdr:colOff>304800</xdr:colOff>
      <xdr:row>78</xdr:row>
      <xdr:rowOff>85725</xdr:rowOff>
    </xdr:to>
    <xdr:sp macro="" textlink="">
      <xdr:nvSpPr>
        <xdr:cNvPr id="13324" name="Line 12"/>
        <xdr:cNvSpPr>
          <a:spLocks noChangeShapeType="1"/>
        </xdr:cNvSpPr>
      </xdr:nvSpPr>
      <xdr:spPr bwMode="auto">
        <a:xfrm>
          <a:off x="15935325" y="9363075"/>
          <a:ext cx="0" cy="1619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8.xml><?xml version="1.0" encoding="utf-8"?>
<c:userShapes xmlns:c="http://schemas.openxmlformats.org/drawingml/2006/chart">
  <cdr:relSizeAnchor xmlns:cdr="http://schemas.openxmlformats.org/drawingml/2006/chartDrawing">
    <cdr:from>
      <cdr:x>0.12241</cdr:x>
      <cdr:y>0.43016</cdr:y>
    </cdr:from>
    <cdr:to>
      <cdr:x>0.66064</cdr:x>
      <cdr:y>0.59113</cdr:y>
    </cdr:to>
    <cdr:sp macro="" textlink="">
      <cdr:nvSpPr>
        <cdr:cNvPr id="14337" name="Line 1"/>
        <cdr:cNvSpPr>
          <a:spLocks xmlns:a="http://schemas.openxmlformats.org/drawingml/2006/main" noChangeShapeType="1"/>
        </cdr:cNvSpPr>
      </cdr:nvSpPr>
      <cdr:spPr bwMode="auto">
        <a:xfrm xmlns:a="http://schemas.openxmlformats.org/drawingml/2006/main" flipV="1">
          <a:off x="470712" y="949646"/>
          <a:ext cx="2055800" cy="35417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0.10754</cdr:x>
      <cdr:y>0.15415</cdr:y>
    </cdr:from>
    <cdr:to>
      <cdr:x>0.66064</cdr:x>
      <cdr:y>0.33784</cdr:y>
    </cdr:to>
    <cdr:sp macro="" textlink="">
      <cdr:nvSpPr>
        <cdr:cNvPr id="14338" name="Line 2"/>
        <cdr:cNvSpPr>
          <a:spLocks xmlns:a="http://schemas.openxmlformats.org/drawingml/2006/main" noChangeShapeType="1"/>
        </cdr:cNvSpPr>
      </cdr:nvSpPr>
      <cdr:spPr bwMode="auto">
        <a:xfrm xmlns:a="http://schemas.openxmlformats.org/drawingml/2006/main" flipV="1">
          <a:off x="413917" y="342346"/>
          <a:ext cx="2112595" cy="40416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0.12241</cdr:x>
      <cdr:y>0.24647</cdr:y>
    </cdr:from>
    <cdr:to>
      <cdr:x>0.66064</cdr:x>
      <cdr:y>0.38543</cdr:y>
    </cdr:to>
    <cdr:sp macro="" textlink="">
      <cdr:nvSpPr>
        <cdr:cNvPr id="14339" name="Line 3"/>
        <cdr:cNvSpPr>
          <a:spLocks xmlns:a="http://schemas.openxmlformats.org/drawingml/2006/main" noChangeShapeType="1"/>
        </cdr:cNvSpPr>
      </cdr:nvSpPr>
      <cdr:spPr bwMode="auto">
        <a:xfrm xmlns:a="http://schemas.openxmlformats.org/drawingml/2006/main" flipV="1">
          <a:off x="470712" y="545481"/>
          <a:ext cx="2055800" cy="30575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0.12241</cdr:x>
      <cdr:y>0.35912</cdr:y>
    </cdr:from>
    <cdr:to>
      <cdr:x>0.66064</cdr:x>
      <cdr:y>0.5244</cdr:y>
    </cdr:to>
    <cdr:sp macro="" textlink="">
      <cdr:nvSpPr>
        <cdr:cNvPr id="14341" name="Line 5"/>
        <cdr:cNvSpPr>
          <a:spLocks xmlns:a="http://schemas.openxmlformats.org/drawingml/2006/main" noChangeShapeType="1"/>
        </cdr:cNvSpPr>
      </cdr:nvSpPr>
      <cdr:spPr bwMode="auto">
        <a:xfrm xmlns:a="http://schemas.openxmlformats.org/drawingml/2006/main" flipV="1">
          <a:off x="470712" y="793348"/>
          <a:ext cx="2055800" cy="36364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0.10754</cdr:x>
      <cdr:y>0.31583</cdr:y>
    </cdr:from>
    <cdr:to>
      <cdr:x>0.66064</cdr:x>
      <cdr:y>0.48924</cdr:y>
    </cdr:to>
    <cdr:sp macro="" textlink="">
      <cdr:nvSpPr>
        <cdr:cNvPr id="14342" name="Line 6"/>
        <cdr:cNvSpPr>
          <a:spLocks xmlns:a="http://schemas.openxmlformats.org/drawingml/2006/main" noChangeShapeType="1"/>
        </cdr:cNvSpPr>
      </cdr:nvSpPr>
      <cdr:spPr bwMode="auto">
        <a:xfrm xmlns:a="http://schemas.openxmlformats.org/drawingml/2006/main" flipV="1">
          <a:off x="413917" y="698095"/>
          <a:ext cx="2112595" cy="381536"/>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0.12241</cdr:x>
      <cdr:y>0.24647</cdr:y>
    </cdr:from>
    <cdr:to>
      <cdr:x>0.66064</cdr:x>
      <cdr:y>0.46747</cdr:y>
    </cdr:to>
    <cdr:sp macro="" textlink="">
      <cdr:nvSpPr>
        <cdr:cNvPr id="14343" name="Line 7"/>
        <cdr:cNvSpPr>
          <a:spLocks xmlns:a="http://schemas.openxmlformats.org/drawingml/2006/main" noChangeShapeType="1"/>
        </cdr:cNvSpPr>
      </cdr:nvSpPr>
      <cdr:spPr bwMode="auto">
        <a:xfrm xmlns:a="http://schemas.openxmlformats.org/drawingml/2006/main" flipV="1">
          <a:off x="470712" y="545481"/>
          <a:ext cx="2055800" cy="48626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19.xml><?xml version="1.0" encoding="utf-8"?>
<c:userShapes xmlns:c="http://schemas.openxmlformats.org/drawingml/2006/chart">
  <cdr:relSizeAnchor xmlns:cdr="http://schemas.openxmlformats.org/drawingml/2006/chartDrawing">
    <cdr:from>
      <cdr:x>0.28207</cdr:x>
      <cdr:y>0.49378</cdr:y>
    </cdr:from>
    <cdr:to>
      <cdr:x>0.67844</cdr:x>
      <cdr:y>0.62318</cdr:y>
    </cdr:to>
    <cdr:sp macro="" textlink="">
      <cdr:nvSpPr>
        <cdr:cNvPr id="16385" name="Line 1"/>
        <cdr:cNvSpPr>
          <a:spLocks xmlns:a="http://schemas.openxmlformats.org/drawingml/2006/main" noChangeShapeType="1"/>
        </cdr:cNvSpPr>
      </cdr:nvSpPr>
      <cdr:spPr bwMode="auto">
        <a:xfrm xmlns:a="http://schemas.openxmlformats.org/drawingml/2006/main" flipV="1">
          <a:off x="1080562" y="1089630"/>
          <a:ext cx="1513918" cy="28470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0.28207</cdr:x>
      <cdr:y>0.14697</cdr:y>
    </cdr:from>
    <cdr:to>
      <cdr:x>0.66064</cdr:x>
      <cdr:y>0.18644</cdr:y>
    </cdr:to>
    <cdr:sp macro="" textlink="">
      <cdr:nvSpPr>
        <cdr:cNvPr id="16386" name="Line 2"/>
        <cdr:cNvSpPr>
          <a:spLocks xmlns:a="http://schemas.openxmlformats.org/drawingml/2006/main" noChangeShapeType="1"/>
        </cdr:cNvSpPr>
      </cdr:nvSpPr>
      <cdr:spPr bwMode="auto">
        <a:xfrm xmlns:a="http://schemas.openxmlformats.org/drawingml/2006/main" flipV="1">
          <a:off x="1080562" y="326558"/>
          <a:ext cx="1445950" cy="8683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0.10217</cdr:x>
      <cdr:y>0.18644</cdr:y>
    </cdr:from>
    <cdr:to>
      <cdr:x>0.28207</cdr:x>
      <cdr:y>0.25532</cdr:y>
    </cdr:to>
    <cdr:sp macro="" textlink="">
      <cdr:nvSpPr>
        <cdr:cNvPr id="16387" name="Line 3"/>
        <cdr:cNvSpPr>
          <a:spLocks xmlns:a="http://schemas.openxmlformats.org/drawingml/2006/main" noChangeShapeType="1"/>
        </cdr:cNvSpPr>
      </cdr:nvSpPr>
      <cdr:spPr bwMode="auto">
        <a:xfrm xmlns:a="http://schemas.openxmlformats.org/drawingml/2006/main" flipV="1">
          <a:off x="393433" y="413391"/>
          <a:ext cx="687129" cy="15156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0.62318</cdr:y>
    </cdr:from>
    <cdr:to>
      <cdr:x>0.28207</cdr:x>
      <cdr:y>0.65834</cdr:y>
    </cdr:to>
    <cdr:sp macro="" textlink="">
      <cdr:nvSpPr>
        <cdr:cNvPr id="16388" name="Line 4"/>
        <cdr:cNvSpPr>
          <a:spLocks xmlns:a="http://schemas.openxmlformats.org/drawingml/2006/main" noChangeShapeType="1"/>
        </cdr:cNvSpPr>
      </cdr:nvSpPr>
      <cdr:spPr bwMode="auto">
        <a:xfrm xmlns:a="http://schemas.openxmlformats.org/drawingml/2006/main" flipV="1">
          <a:off x="298464" y="1374334"/>
          <a:ext cx="782098" cy="7736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0.28207</cdr:x>
      <cdr:y>0.09531</cdr:y>
    </cdr:from>
    <cdr:to>
      <cdr:x>0.28207</cdr:x>
      <cdr:y>0.89177</cdr:y>
    </cdr:to>
    <cdr:sp macro="" textlink="">
      <cdr:nvSpPr>
        <cdr:cNvPr id="16389" name="Line 5"/>
        <cdr:cNvSpPr>
          <a:spLocks xmlns:a="http://schemas.openxmlformats.org/drawingml/2006/main" noChangeShapeType="1"/>
        </cdr:cNvSpPr>
      </cdr:nvSpPr>
      <cdr:spPr bwMode="auto">
        <a:xfrm xmlns:a="http://schemas.openxmlformats.org/drawingml/2006/main" flipH="1" flipV="1">
          <a:off x="1080562" y="212887"/>
          <a:ext cx="0" cy="175243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571500</xdr:colOff>
          <xdr:row>162</xdr:row>
          <xdr:rowOff>28575</xdr:rowOff>
        </xdr:from>
        <xdr:to>
          <xdr:col>7</xdr:col>
          <xdr:colOff>571500</xdr:colOff>
          <xdr:row>166</xdr:row>
          <xdr:rowOff>66675</xdr:rowOff>
        </xdr:to>
        <xdr:sp macro="" textlink="">
          <xdr:nvSpPr>
            <xdr:cNvPr id="1208" name="Group Box 184" hidden="1">
              <a:extLst>
                <a:ext uri="{63B3BB69-23CF-44E3-9099-C40C66FF867C}">
                  <a14:compatExt spid="_x0000_s12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141</xdr:row>
          <xdr:rowOff>180975</xdr:rowOff>
        </xdr:from>
        <xdr:to>
          <xdr:col>7</xdr:col>
          <xdr:colOff>447675</xdr:colOff>
          <xdr:row>143</xdr:row>
          <xdr:rowOff>57150</xdr:rowOff>
        </xdr:to>
        <xdr:sp macro="" textlink="">
          <xdr:nvSpPr>
            <xdr:cNvPr id="1053" name="Group Box 29" hidden="1">
              <a:extLst>
                <a:ext uri="{63B3BB69-23CF-44E3-9099-C40C66FF867C}">
                  <a14:compatExt spid="_x0000_s10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142</xdr:row>
          <xdr:rowOff>0</xdr:rowOff>
        </xdr:from>
        <xdr:to>
          <xdr:col>6</xdr:col>
          <xdr:colOff>28575</xdr:colOff>
          <xdr:row>143</xdr:row>
          <xdr:rowOff>0</xdr:rowOff>
        </xdr:to>
        <xdr:sp macro="" textlink="">
          <xdr:nvSpPr>
            <xdr:cNvPr id="1054" name="Option Button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142</xdr:row>
          <xdr:rowOff>9525</xdr:rowOff>
        </xdr:from>
        <xdr:to>
          <xdr:col>7</xdr:col>
          <xdr:colOff>95250</xdr:colOff>
          <xdr:row>142</xdr:row>
          <xdr:rowOff>228600</xdr:rowOff>
        </xdr:to>
        <xdr:sp macro="" textlink="">
          <xdr:nvSpPr>
            <xdr:cNvPr id="1056" name="Option Button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47</xdr:row>
          <xdr:rowOff>0</xdr:rowOff>
        </xdr:from>
        <xdr:to>
          <xdr:col>8</xdr:col>
          <xdr:colOff>409575</xdr:colOff>
          <xdr:row>48</xdr:row>
          <xdr:rowOff>9525</xdr:rowOff>
        </xdr:to>
        <xdr:sp macro="" textlink="">
          <xdr:nvSpPr>
            <xdr:cNvPr id="1059" name="Group Box 35" hidden="1">
              <a:extLst>
                <a:ext uri="{63B3BB69-23CF-44E3-9099-C40C66FF867C}">
                  <a14:compatExt spid="_x0000_s10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47</xdr:row>
          <xdr:rowOff>9525</xdr:rowOff>
        </xdr:from>
        <xdr:to>
          <xdr:col>7</xdr:col>
          <xdr:colOff>409575</xdr:colOff>
          <xdr:row>47</xdr:row>
          <xdr:rowOff>228600</xdr:rowOff>
        </xdr:to>
        <xdr:sp macro="" textlink="">
          <xdr:nvSpPr>
            <xdr:cNvPr id="1060" name="Option Button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Précoce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47</xdr:row>
          <xdr:rowOff>9525</xdr:rowOff>
        </xdr:from>
        <xdr:to>
          <xdr:col>8</xdr:col>
          <xdr:colOff>314325</xdr:colOff>
          <xdr:row>47</xdr:row>
          <xdr:rowOff>228600</xdr:rowOff>
        </xdr:to>
        <xdr:sp macro="" textlink="">
          <xdr:nvSpPr>
            <xdr:cNvPr id="1061" name="Option Button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Tardif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170</xdr:row>
          <xdr:rowOff>19050</xdr:rowOff>
        </xdr:from>
        <xdr:to>
          <xdr:col>5</xdr:col>
          <xdr:colOff>390525</xdr:colOff>
          <xdr:row>171</xdr:row>
          <xdr:rowOff>0</xdr:rowOff>
        </xdr:to>
        <xdr:sp macro="" textlink="">
          <xdr:nvSpPr>
            <xdr:cNvPr id="1099" name="Option Button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171</xdr:row>
          <xdr:rowOff>19050</xdr:rowOff>
        </xdr:from>
        <xdr:to>
          <xdr:col>5</xdr:col>
          <xdr:colOff>428625</xdr:colOff>
          <xdr:row>172</xdr:row>
          <xdr:rowOff>0</xdr:rowOff>
        </xdr:to>
        <xdr:sp macro="" textlink="">
          <xdr:nvSpPr>
            <xdr:cNvPr id="1103" name="Option Button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54</xdr:row>
          <xdr:rowOff>0</xdr:rowOff>
        </xdr:from>
        <xdr:to>
          <xdr:col>8</xdr:col>
          <xdr:colOff>533400</xdr:colOff>
          <xdr:row>54</xdr:row>
          <xdr:rowOff>247650</xdr:rowOff>
        </xdr:to>
        <xdr:sp macro="" textlink="">
          <xdr:nvSpPr>
            <xdr:cNvPr id="1119" name="Group Box 95" hidden="1">
              <a:extLst>
                <a:ext uri="{63B3BB69-23CF-44E3-9099-C40C66FF867C}">
                  <a14:compatExt spid="_x0000_s11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60</xdr:row>
          <xdr:rowOff>0</xdr:rowOff>
        </xdr:from>
        <xdr:to>
          <xdr:col>8</xdr:col>
          <xdr:colOff>409575</xdr:colOff>
          <xdr:row>61</xdr:row>
          <xdr:rowOff>209550</xdr:rowOff>
        </xdr:to>
        <xdr:sp macro="" textlink="">
          <xdr:nvSpPr>
            <xdr:cNvPr id="1120" name="Group Box 96" hidden="1">
              <a:extLst>
                <a:ext uri="{63B3BB69-23CF-44E3-9099-C40C66FF867C}">
                  <a14:compatExt spid="_x0000_s112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54</xdr:row>
          <xdr:rowOff>9525</xdr:rowOff>
        </xdr:from>
        <xdr:to>
          <xdr:col>6</xdr:col>
          <xdr:colOff>9525</xdr:colOff>
          <xdr:row>54</xdr:row>
          <xdr:rowOff>228600</xdr:rowOff>
        </xdr:to>
        <xdr:sp macro="" textlink="">
          <xdr:nvSpPr>
            <xdr:cNvPr id="1122" name="Option Button 98" hidden="1">
              <a:extLst>
                <a:ext uri="{63B3BB69-23CF-44E3-9099-C40C66FF867C}">
                  <a14:compatExt spid="_x0000_s1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54</xdr:row>
          <xdr:rowOff>9525</xdr:rowOff>
        </xdr:from>
        <xdr:to>
          <xdr:col>7</xdr:col>
          <xdr:colOff>200025</xdr:colOff>
          <xdr:row>54</xdr:row>
          <xdr:rowOff>228600</xdr:rowOff>
        </xdr:to>
        <xdr:sp macro="" textlink="">
          <xdr:nvSpPr>
            <xdr:cNvPr id="1123" name="Option Button 99" hidden="1">
              <a:extLst>
                <a:ext uri="{63B3BB69-23CF-44E3-9099-C40C66FF867C}">
                  <a14:compatExt spid="_x0000_s1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54</xdr:row>
          <xdr:rowOff>9525</xdr:rowOff>
        </xdr:from>
        <xdr:to>
          <xdr:col>8</xdr:col>
          <xdr:colOff>257175</xdr:colOff>
          <xdr:row>54</xdr:row>
          <xdr:rowOff>228600</xdr:rowOff>
        </xdr:to>
        <xdr:sp macro="" textlink="">
          <xdr:nvSpPr>
            <xdr:cNvPr id="1124" name="Option Button 100" hidden="1">
              <a:extLst>
                <a:ext uri="{63B3BB69-23CF-44E3-9099-C40C66FF867C}">
                  <a14:compatExt spid="_x0000_s1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60</xdr:row>
          <xdr:rowOff>9525</xdr:rowOff>
        </xdr:from>
        <xdr:to>
          <xdr:col>6</xdr:col>
          <xdr:colOff>38100</xdr:colOff>
          <xdr:row>61</xdr:row>
          <xdr:rowOff>190500</xdr:rowOff>
        </xdr:to>
        <xdr:sp macro="" textlink="">
          <xdr:nvSpPr>
            <xdr:cNvPr id="1125" name="Option Button 101" hidden="1">
              <a:extLst>
                <a:ext uri="{63B3BB69-23CF-44E3-9099-C40C66FF867C}">
                  <a14:compatExt spid="_x0000_s1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60</xdr:row>
          <xdr:rowOff>9525</xdr:rowOff>
        </xdr:from>
        <xdr:to>
          <xdr:col>7</xdr:col>
          <xdr:colOff>228600</xdr:colOff>
          <xdr:row>61</xdr:row>
          <xdr:rowOff>190500</xdr:rowOff>
        </xdr:to>
        <xdr:sp macro="" textlink="">
          <xdr:nvSpPr>
            <xdr:cNvPr id="1129" name="Option Button 105"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60</xdr:row>
          <xdr:rowOff>9525</xdr:rowOff>
        </xdr:from>
        <xdr:to>
          <xdr:col>8</xdr:col>
          <xdr:colOff>285750</xdr:colOff>
          <xdr:row>61</xdr:row>
          <xdr:rowOff>190500</xdr:rowOff>
        </xdr:to>
        <xdr:sp macro="" textlink="">
          <xdr:nvSpPr>
            <xdr:cNvPr id="1130" name="Option Button 106"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69</xdr:row>
          <xdr:rowOff>0</xdr:rowOff>
        </xdr:from>
        <xdr:to>
          <xdr:col>8</xdr:col>
          <xdr:colOff>0</xdr:colOff>
          <xdr:row>70</xdr:row>
          <xdr:rowOff>0</xdr:rowOff>
        </xdr:to>
        <xdr:sp macro="" textlink="">
          <xdr:nvSpPr>
            <xdr:cNvPr id="1131" name="Group Box 107" hidden="1">
              <a:extLst>
                <a:ext uri="{63B3BB69-23CF-44E3-9099-C40C66FF867C}">
                  <a14:compatExt spid="_x0000_s11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69</xdr:row>
          <xdr:rowOff>9525</xdr:rowOff>
        </xdr:from>
        <xdr:to>
          <xdr:col>5</xdr:col>
          <xdr:colOff>9525</xdr:colOff>
          <xdr:row>69</xdr:row>
          <xdr:rowOff>228600</xdr:rowOff>
        </xdr:to>
        <xdr:sp macro="" textlink="">
          <xdr:nvSpPr>
            <xdr:cNvPr id="1132" name="Option Button 108"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69</xdr:row>
          <xdr:rowOff>9525</xdr:rowOff>
        </xdr:from>
        <xdr:to>
          <xdr:col>6</xdr:col>
          <xdr:colOff>200025</xdr:colOff>
          <xdr:row>69</xdr:row>
          <xdr:rowOff>228600</xdr:rowOff>
        </xdr:to>
        <xdr:sp macro="" textlink="">
          <xdr:nvSpPr>
            <xdr:cNvPr id="1133" name="Option Button 109"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69</xdr:row>
          <xdr:rowOff>9525</xdr:rowOff>
        </xdr:from>
        <xdr:to>
          <xdr:col>7</xdr:col>
          <xdr:colOff>352425</xdr:colOff>
          <xdr:row>69</xdr:row>
          <xdr:rowOff>228600</xdr:rowOff>
        </xdr:to>
        <xdr:sp macro="" textlink="">
          <xdr:nvSpPr>
            <xdr:cNvPr id="1134" name="Option Button 110"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92</xdr:row>
          <xdr:rowOff>0</xdr:rowOff>
        </xdr:from>
        <xdr:to>
          <xdr:col>8</xdr:col>
          <xdr:colOff>0</xdr:colOff>
          <xdr:row>93</xdr:row>
          <xdr:rowOff>9525</xdr:rowOff>
        </xdr:to>
        <xdr:sp macro="" textlink="">
          <xdr:nvSpPr>
            <xdr:cNvPr id="1136" name="Group Box 112" hidden="1">
              <a:extLst>
                <a:ext uri="{63B3BB69-23CF-44E3-9099-C40C66FF867C}">
                  <a14:compatExt spid="_x0000_s113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92</xdr:row>
          <xdr:rowOff>9525</xdr:rowOff>
        </xdr:from>
        <xdr:to>
          <xdr:col>5</xdr:col>
          <xdr:colOff>9525</xdr:colOff>
          <xdr:row>92</xdr:row>
          <xdr:rowOff>228600</xdr:rowOff>
        </xdr:to>
        <xdr:sp macro="" textlink="">
          <xdr:nvSpPr>
            <xdr:cNvPr id="1137" name="Option Button 113"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92</xdr:row>
          <xdr:rowOff>9525</xdr:rowOff>
        </xdr:from>
        <xdr:to>
          <xdr:col>6</xdr:col>
          <xdr:colOff>200025</xdr:colOff>
          <xdr:row>92</xdr:row>
          <xdr:rowOff>228600</xdr:rowOff>
        </xdr:to>
        <xdr:sp macro="" textlink="">
          <xdr:nvSpPr>
            <xdr:cNvPr id="1138" name="Option Button 114"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92</xdr:row>
          <xdr:rowOff>9525</xdr:rowOff>
        </xdr:from>
        <xdr:to>
          <xdr:col>7</xdr:col>
          <xdr:colOff>352425</xdr:colOff>
          <xdr:row>92</xdr:row>
          <xdr:rowOff>228600</xdr:rowOff>
        </xdr:to>
        <xdr:sp macro="" textlink="">
          <xdr:nvSpPr>
            <xdr:cNvPr id="1139" name="Option Button 115"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99</xdr:row>
          <xdr:rowOff>0</xdr:rowOff>
        </xdr:from>
        <xdr:to>
          <xdr:col>8</xdr:col>
          <xdr:colOff>0</xdr:colOff>
          <xdr:row>100</xdr:row>
          <xdr:rowOff>0</xdr:rowOff>
        </xdr:to>
        <xdr:sp macro="" textlink="">
          <xdr:nvSpPr>
            <xdr:cNvPr id="1140" name="Group Box 116" hidden="1">
              <a:extLst>
                <a:ext uri="{63B3BB69-23CF-44E3-9099-C40C66FF867C}">
                  <a14:compatExt spid="_x0000_s11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99</xdr:row>
          <xdr:rowOff>9525</xdr:rowOff>
        </xdr:from>
        <xdr:to>
          <xdr:col>5</xdr:col>
          <xdr:colOff>9525</xdr:colOff>
          <xdr:row>99</xdr:row>
          <xdr:rowOff>228600</xdr:rowOff>
        </xdr:to>
        <xdr:sp macro="" textlink="">
          <xdr:nvSpPr>
            <xdr:cNvPr id="1141" name="Option Button 117"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99</xdr:row>
          <xdr:rowOff>9525</xdr:rowOff>
        </xdr:from>
        <xdr:to>
          <xdr:col>6</xdr:col>
          <xdr:colOff>200025</xdr:colOff>
          <xdr:row>99</xdr:row>
          <xdr:rowOff>228600</xdr:rowOff>
        </xdr:to>
        <xdr:sp macro="" textlink="">
          <xdr:nvSpPr>
            <xdr:cNvPr id="1142" name="Option Button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99</xdr:row>
          <xdr:rowOff>9525</xdr:rowOff>
        </xdr:from>
        <xdr:to>
          <xdr:col>7</xdr:col>
          <xdr:colOff>352425</xdr:colOff>
          <xdr:row>99</xdr:row>
          <xdr:rowOff>228600</xdr:rowOff>
        </xdr:to>
        <xdr:sp macro="" textlink="">
          <xdr:nvSpPr>
            <xdr:cNvPr id="1143" name="Option Button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175</xdr:row>
          <xdr:rowOff>0</xdr:rowOff>
        </xdr:from>
        <xdr:to>
          <xdr:col>7</xdr:col>
          <xdr:colOff>514350</xdr:colOff>
          <xdr:row>177</xdr:row>
          <xdr:rowOff>9525</xdr:rowOff>
        </xdr:to>
        <xdr:sp macro="" textlink="">
          <xdr:nvSpPr>
            <xdr:cNvPr id="1144" name="Group Box 120" hidden="1">
              <a:extLst>
                <a:ext uri="{63B3BB69-23CF-44E3-9099-C40C66FF867C}">
                  <a14:compatExt spid="_x0000_s11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175</xdr:row>
          <xdr:rowOff>9525</xdr:rowOff>
        </xdr:from>
        <xdr:to>
          <xdr:col>3</xdr:col>
          <xdr:colOff>561975</xdr:colOff>
          <xdr:row>175</xdr:row>
          <xdr:rowOff>228600</xdr:rowOff>
        </xdr:to>
        <xdr:sp macro="" textlink="">
          <xdr:nvSpPr>
            <xdr:cNvPr id="1145" name="Option Button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5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175</xdr:row>
          <xdr:rowOff>9525</xdr:rowOff>
        </xdr:from>
        <xdr:to>
          <xdr:col>4</xdr:col>
          <xdr:colOff>561975</xdr:colOff>
          <xdr:row>175</xdr:row>
          <xdr:rowOff>228600</xdr:rowOff>
        </xdr:to>
        <xdr:sp macro="" textlink="">
          <xdr:nvSpPr>
            <xdr:cNvPr id="1146" name="Option Button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175</xdr:row>
          <xdr:rowOff>9525</xdr:rowOff>
        </xdr:from>
        <xdr:to>
          <xdr:col>5</xdr:col>
          <xdr:colOff>561975</xdr:colOff>
          <xdr:row>175</xdr:row>
          <xdr:rowOff>228600</xdr:rowOff>
        </xdr:to>
        <xdr:sp macro="" textlink="">
          <xdr:nvSpPr>
            <xdr:cNvPr id="1147" name="Option Button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7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175</xdr:row>
          <xdr:rowOff>9525</xdr:rowOff>
        </xdr:from>
        <xdr:to>
          <xdr:col>6</xdr:col>
          <xdr:colOff>561975</xdr:colOff>
          <xdr:row>175</xdr:row>
          <xdr:rowOff>228600</xdr:rowOff>
        </xdr:to>
        <xdr:sp macro="" textlink="">
          <xdr:nvSpPr>
            <xdr:cNvPr id="1148" name="Option Button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8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62</xdr:row>
          <xdr:rowOff>0</xdr:rowOff>
        </xdr:from>
        <xdr:to>
          <xdr:col>8</xdr:col>
          <xdr:colOff>476250</xdr:colOff>
          <xdr:row>63</xdr:row>
          <xdr:rowOff>9525</xdr:rowOff>
        </xdr:to>
        <xdr:sp macro="" textlink="">
          <xdr:nvSpPr>
            <xdr:cNvPr id="1149" name="Group Box 125" hidden="1">
              <a:extLst>
                <a:ext uri="{63B3BB69-23CF-44E3-9099-C40C66FF867C}">
                  <a14:compatExt spid="_x0000_s11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62</xdr:row>
          <xdr:rowOff>9525</xdr:rowOff>
        </xdr:from>
        <xdr:to>
          <xdr:col>7</xdr:col>
          <xdr:colOff>428625</xdr:colOff>
          <xdr:row>62</xdr:row>
          <xdr:rowOff>228600</xdr:rowOff>
        </xdr:to>
        <xdr:sp macro="" textlink="">
          <xdr:nvSpPr>
            <xdr:cNvPr id="1150" name="Option Button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30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62</xdr:row>
          <xdr:rowOff>9525</xdr:rowOff>
        </xdr:from>
        <xdr:to>
          <xdr:col>8</xdr:col>
          <xdr:colOff>361950</xdr:colOff>
          <xdr:row>62</xdr:row>
          <xdr:rowOff>228600</xdr:rowOff>
        </xdr:to>
        <xdr:sp macro="" textlink="">
          <xdr:nvSpPr>
            <xdr:cNvPr id="1151" name="Option Button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36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183</xdr:row>
          <xdr:rowOff>0</xdr:rowOff>
        </xdr:from>
        <xdr:to>
          <xdr:col>7</xdr:col>
          <xdr:colOff>200025</xdr:colOff>
          <xdr:row>184</xdr:row>
          <xdr:rowOff>9525</xdr:rowOff>
        </xdr:to>
        <xdr:sp macro="" textlink="">
          <xdr:nvSpPr>
            <xdr:cNvPr id="1152" name="Group Box 128" hidden="1">
              <a:extLst>
                <a:ext uri="{63B3BB69-23CF-44E3-9099-C40C66FF867C}">
                  <a14:compatExt spid="_x0000_s11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183</xdr:row>
          <xdr:rowOff>9525</xdr:rowOff>
        </xdr:from>
        <xdr:to>
          <xdr:col>3</xdr:col>
          <xdr:colOff>561975</xdr:colOff>
          <xdr:row>183</xdr:row>
          <xdr:rowOff>228600</xdr:rowOff>
        </xdr:to>
        <xdr:sp macro="" textlink="">
          <xdr:nvSpPr>
            <xdr:cNvPr id="1153" name="Option Button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5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183</xdr:row>
          <xdr:rowOff>9525</xdr:rowOff>
        </xdr:from>
        <xdr:to>
          <xdr:col>4</xdr:col>
          <xdr:colOff>561975</xdr:colOff>
          <xdr:row>183</xdr:row>
          <xdr:rowOff>228600</xdr:rowOff>
        </xdr:to>
        <xdr:sp macro="" textlink="">
          <xdr:nvSpPr>
            <xdr:cNvPr id="1154" name="Option Button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183</xdr:row>
          <xdr:rowOff>9525</xdr:rowOff>
        </xdr:from>
        <xdr:to>
          <xdr:col>5</xdr:col>
          <xdr:colOff>561975</xdr:colOff>
          <xdr:row>183</xdr:row>
          <xdr:rowOff>228600</xdr:rowOff>
        </xdr:to>
        <xdr:sp macro="" textlink="">
          <xdr:nvSpPr>
            <xdr:cNvPr id="1155" name="Option Button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7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183</xdr:row>
          <xdr:rowOff>9525</xdr:rowOff>
        </xdr:from>
        <xdr:to>
          <xdr:col>6</xdr:col>
          <xdr:colOff>561975</xdr:colOff>
          <xdr:row>183</xdr:row>
          <xdr:rowOff>228600</xdr:rowOff>
        </xdr:to>
        <xdr:sp macro="" textlink="">
          <xdr:nvSpPr>
            <xdr:cNvPr id="1156" name="Option Button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8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184</xdr:row>
          <xdr:rowOff>9525</xdr:rowOff>
        </xdr:from>
        <xdr:to>
          <xdr:col>3</xdr:col>
          <xdr:colOff>561975</xdr:colOff>
          <xdr:row>184</xdr:row>
          <xdr:rowOff>228600</xdr:rowOff>
        </xdr:to>
        <xdr:sp macro="" textlink="">
          <xdr:nvSpPr>
            <xdr:cNvPr id="1158" name="Option Button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5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184</xdr:row>
          <xdr:rowOff>9525</xdr:rowOff>
        </xdr:from>
        <xdr:to>
          <xdr:col>4</xdr:col>
          <xdr:colOff>561975</xdr:colOff>
          <xdr:row>184</xdr:row>
          <xdr:rowOff>228600</xdr:rowOff>
        </xdr:to>
        <xdr:sp macro="" textlink="">
          <xdr:nvSpPr>
            <xdr:cNvPr id="1159" name="Option Button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184</xdr:row>
          <xdr:rowOff>9525</xdr:rowOff>
        </xdr:from>
        <xdr:to>
          <xdr:col>5</xdr:col>
          <xdr:colOff>561975</xdr:colOff>
          <xdr:row>184</xdr:row>
          <xdr:rowOff>228600</xdr:rowOff>
        </xdr:to>
        <xdr:sp macro="" textlink="">
          <xdr:nvSpPr>
            <xdr:cNvPr id="1160" name="Option Button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7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184</xdr:row>
          <xdr:rowOff>9525</xdr:rowOff>
        </xdr:from>
        <xdr:to>
          <xdr:col>6</xdr:col>
          <xdr:colOff>561975</xdr:colOff>
          <xdr:row>184</xdr:row>
          <xdr:rowOff>228600</xdr:rowOff>
        </xdr:to>
        <xdr:sp macro="" textlink="">
          <xdr:nvSpPr>
            <xdr:cNvPr id="1161" name="Option Button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8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184</xdr:row>
          <xdr:rowOff>0</xdr:rowOff>
        </xdr:from>
        <xdr:to>
          <xdr:col>7</xdr:col>
          <xdr:colOff>200025</xdr:colOff>
          <xdr:row>185</xdr:row>
          <xdr:rowOff>9525</xdr:rowOff>
        </xdr:to>
        <xdr:sp macro="" textlink="">
          <xdr:nvSpPr>
            <xdr:cNvPr id="1162" name="Group Box 138" hidden="1">
              <a:extLst>
                <a:ext uri="{63B3BB69-23CF-44E3-9099-C40C66FF867C}">
                  <a14:compatExt spid="_x0000_s116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185</xdr:row>
          <xdr:rowOff>0</xdr:rowOff>
        </xdr:from>
        <xdr:to>
          <xdr:col>6</xdr:col>
          <xdr:colOff>247650</xdr:colOff>
          <xdr:row>186</xdr:row>
          <xdr:rowOff>9525</xdr:rowOff>
        </xdr:to>
        <xdr:sp macro="" textlink="">
          <xdr:nvSpPr>
            <xdr:cNvPr id="1163" name="Group Box 139" hidden="1">
              <a:extLst>
                <a:ext uri="{63B3BB69-23CF-44E3-9099-C40C66FF867C}">
                  <a14:compatExt spid="_x0000_s116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185</xdr:row>
          <xdr:rowOff>9525</xdr:rowOff>
        </xdr:from>
        <xdr:to>
          <xdr:col>3</xdr:col>
          <xdr:colOff>561975</xdr:colOff>
          <xdr:row>185</xdr:row>
          <xdr:rowOff>228600</xdr:rowOff>
        </xdr:to>
        <xdr:sp macro="" textlink="">
          <xdr:nvSpPr>
            <xdr:cNvPr id="1164" name="Option Button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foin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185</xdr:row>
          <xdr:rowOff>9525</xdr:rowOff>
        </xdr:from>
        <xdr:to>
          <xdr:col>4</xdr:col>
          <xdr:colOff>561975</xdr:colOff>
          <xdr:row>185</xdr:row>
          <xdr:rowOff>228600</xdr:rowOff>
        </xdr:to>
        <xdr:sp macro="" textlink="">
          <xdr:nvSpPr>
            <xdr:cNvPr id="1165" name="Option Button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175</xdr:row>
          <xdr:rowOff>0</xdr:rowOff>
        </xdr:from>
        <xdr:to>
          <xdr:col>9</xdr:col>
          <xdr:colOff>514350</xdr:colOff>
          <xdr:row>175</xdr:row>
          <xdr:rowOff>219075</xdr:rowOff>
        </xdr:to>
        <xdr:sp macro="" textlink="">
          <xdr:nvSpPr>
            <xdr:cNvPr id="1169" name="Option Button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175</xdr:row>
          <xdr:rowOff>0</xdr:rowOff>
        </xdr:from>
        <xdr:to>
          <xdr:col>10</xdr:col>
          <xdr:colOff>466725</xdr:colOff>
          <xdr:row>175</xdr:row>
          <xdr:rowOff>219075</xdr:rowOff>
        </xdr:to>
        <xdr:sp macro="" textlink="">
          <xdr:nvSpPr>
            <xdr:cNvPr id="1170" name="Option Button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183</xdr:row>
          <xdr:rowOff>0</xdr:rowOff>
        </xdr:from>
        <xdr:to>
          <xdr:col>9</xdr:col>
          <xdr:colOff>514350</xdr:colOff>
          <xdr:row>183</xdr:row>
          <xdr:rowOff>219075</xdr:rowOff>
        </xdr:to>
        <xdr:sp macro="" textlink="">
          <xdr:nvSpPr>
            <xdr:cNvPr id="1172" name="Option Button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183</xdr:row>
          <xdr:rowOff>0</xdr:rowOff>
        </xdr:from>
        <xdr:to>
          <xdr:col>10</xdr:col>
          <xdr:colOff>466725</xdr:colOff>
          <xdr:row>183</xdr:row>
          <xdr:rowOff>219075</xdr:rowOff>
        </xdr:to>
        <xdr:sp macro="" textlink="">
          <xdr:nvSpPr>
            <xdr:cNvPr id="1173" name="Option Button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184</xdr:row>
          <xdr:rowOff>228600</xdr:rowOff>
        </xdr:from>
        <xdr:to>
          <xdr:col>11</xdr:col>
          <xdr:colOff>209550</xdr:colOff>
          <xdr:row>186</xdr:row>
          <xdr:rowOff>0</xdr:rowOff>
        </xdr:to>
        <xdr:sp macro="" textlink="">
          <xdr:nvSpPr>
            <xdr:cNvPr id="1174" name="Group Box 150" hidden="1">
              <a:extLst>
                <a:ext uri="{63B3BB69-23CF-44E3-9099-C40C66FF867C}">
                  <a14:compatExt spid="_x0000_s117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185</xdr:row>
          <xdr:rowOff>0</xdr:rowOff>
        </xdr:from>
        <xdr:to>
          <xdr:col>9</xdr:col>
          <xdr:colOff>514350</xdr:colOff>
          <xdr:row>185</xdr:row>
          <xdr:rowOff>219075</xdr:rowOff>
        </xdr:to>
        <xdr:sp macro="" textlink="">
          <xdr:nvSpPr>
            <xdr:cNvPr id="1175" name="Option Button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185</xdr:row>
          <xdr:rowOff>0</xdr:rowOff>
        </xdr:from>
        <xdr:to>
          <xdr:col>10</xdr:col>
          <xdr:colOff>466725</xdr:colOff>
          <xdr:row>185</xdr:row>
          <xdr:rowOff>219075</xdr:rowOff>
        </xdr:to>
        <xdr:sp macro="" textlink="">
          <xdr:nvSpPr>
            <xdr:cNvPr id="1176" name="Option Button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205</xdr:row>
          <xdr:rowOff>0</xdr:rowOff>
        </xdr:from>
        <xdr:to>
          <xdr:col>7</xdr:col>
          <xdr:colOff>209550</xdr:colOff>
          <xdr:row>206</xdr:row>
          <xdr:rowOff>9525</xdr:rowOff>
        </xdr:to>
        <xdr:sp macro="" textlink="">
          <xdr:nvSpPr>
            <xdr:cNvPr id="1180" name="Group Box 156" hidden="1">
              <a:extLst>
                <a:ext uri="{63B3BB69-23CF-44E3-9099-C40C66FF867C}">
                  <a14:compatExt spid="_x0000_s118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205</xdr:row>
          <xdr:rowOff>9525</xdr:rowOff>
        </xdr:from>
        <xdr:to>
          <xdr:col>5</xdr:col>
          <xdr:colOff>561975</xdr:colOff>
          <xdr:row>205</xdr:row>
          <xdr:rowOff>228600</xdr:rowOff>
        </xdr:to>
        <xdr:sp macro="" textlink="">
          <xdr:nvSpPr>
            <xdr:cNvPr id="1181" name="Option Button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205</xdr:row>
          <xdr:rowOff>9525</xdr:rowOff>
        </xdr:from>
        <xdr:to>
          <xdr:col>6</xdr:col>
          <xdr:colOff>561975</xdr:colOff>
          <xdr:row>205</xdr:row>
          <xdr:rowOff>228600</xdr:rowOff>
        </xdr:to>
        <xdr:sp macro="" textlink="">
          <xdr:nvSpPr>
            <xdr:cNvPr id="1182" name="Option Button 158"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216</xdr:row>
          <xdr:rowOff>0</xdr:rowOff>
        </xdr:from>
        <xdr:to>
          <xdr:col>7</xdr:col>
          <xdr:colOff>219075</xdr:colOff>
          <xdr:row>217</xdr:row>
          <xdr:rowOff>9525</xdr:rowOff>
        </xdr:to>
        <xdr:sp macro="" textlink="">
          <xdr:nvSpPr>
            <xdr:cNvPr id="1184" name="Group Box 160" hidden="1">
              <a:extLst>
                <a:ext uri="{63B3BB69-23CF-44E3-9099-C40C66FF867C}">
                  <a14:compatExt spid="_x0000_s11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216</xdr:row>
          <xdr:rowOff>9525</xdr:rowOff>
        </xdr:from>
        <xdr:to>
          <xdr:col>5</xdr:col>
          <xdr:colOff>561975</xdr:colOff>
          <xdr:row>216</xdr:row>
          <xdr:rowOff>228600</xdr:rowOff>
        </xdr:to>
        <xdr:sp macro="" textlink="">
          <xdr:nvSpPr>
            <xdr:cNvPr id="1185" name="Option Button 161"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216</xdr:row>
          <xdr:rowOff>9525</xdr:rowOff>
        </xdr:from>
        <xdr:to>
          <xdr:col>6</xdr:col>
          <xdr:colOff>561975</xdr:colOff>
          <xdr:row>216</xdr:row>
          <xdr:rowOff>228600</xdr:rowOff>
        </xdr:to>
        <xdr:sp macro="" textlink="">
          <xdr:nvSpPr>
            <xdr:cNvPr id="1186" name="Option Button 162"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222</xdr:row>
          <xdr:rowOff>0</xdr:rowOff>
        </xdr:from>
        <xdr:to>
          <xdr:col>7</xdr:col>
          <xdr:colOff>238125</xdr:colOff>
          <xdr:row>223</xdr:row>
          <xdr:rowOff>9525</xdr:rowOff>
        </xdr:to>
        <xdr:sp macro="" textlink="">
          <xdr:nvSpPr>
            <xdr:cNvPr id="1188" name="Group Box 164" hidden="1">
              <a:extLst>
                <a:ext uri="{63B3BB69-23CF-44E3-9099-C40C66FF867C}">
                  <a14:compatExt spid="_x0000_s118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222</xdr:row>
          <xdr:rowOff>9525</xdr:rowOff>
        </xdr:from>
        <xdr:to>
          <xdr:col>4</xdr:col>
          <xdr:colOff>104775</xdr:colOff>
          <xdr:row>222</xdr:row>
          <xdr:rowOff>228600</xdr:rowOff>
        </xdr:to>
        <xdr:sp macro="" textlink="">
          <xdr:nvSpPr>
            <xdr:cNvPr id="1189" name="Option Button 165" hidden="1">
              <a:extLst>
                <a:ext uri="{63B3BB69-23CF-44E3-9099-C40C66FF867C}">
                  <a14:compatExt spid="_x0000_s1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222</xdr:row>
          <xdr:rowOff>9525</xdr:rowOff>
        </xdr:from>
        <xdr:to>
          <xdr:col>5</xdr:col>
          <xdr:colOff>333375</xdr:colOff>
          <xdr:row>222</xdr:row>
          <xdr:rowOff>228600</xdr:rowOff>
        </xdr:to>
        <xdr:sp macro="" textlink="">
          <xdr:nvSpPr>
            <xdr:cNvPr id="1190" name="Option Button 166" hidden="1">
              <a:extLst>
                <a:ext uri="{63B3BB69-23CF-44E3-9099-C40C66FF867C}">
                  <a14:compatExt spid="_x0000_s1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222</xdr:row>
          <xdr:rowOff>9525</xdr:rowOff>
        </xdr:from>
        <xdr:to>
          <xdr:col>6</xdr:col>
          <xdr:colOff>514350</xdr:colOff>
          <xdr:row>222</xdr:row>
          <xdr:rowOff>228600</xdr:rowOff>
        </xdr:to>
        <xdr:sp macro="" textlink="">
          <xdr:nvSpPr>
            <xdr:cNvPr id="1191" name="Option Button 167" hidden="1">
              <a:extLst>
                <a:ext uri="{63B3BB69-23CF-44E3-9099-C40C66FF867C}">
                  <a14:compatExt spid="_x0000_s1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pâturage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184</xdr:row>
          <xdr:rowOff>0</xdr:rowOff>
        </xdr:from>
        <xdr:to>
          <xdr:col>11</xdr:col>
          <xdr:colOff>209550</xdr:colOff>
          <xdr:row>185</xdr:row>
          <xdr:rowOff>9525</xdr:rowOff>
        </xdr:to>
        <xdr:sp macro="" textlink="">
          <xdr:nvSpPr>
            <xdr:cNvPr id="1192" name="Group Box 168" hidden="1">
              <a:extLst>
                <a:ext uri="{63B3BB69-23CF-44E3-9099-C40C66FF867C}">
                  <a14:compatExt spid="_x0000_s119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184</xdr:row>
          <xdr:rowOff>0</xdr:rowOff>
        </xdr:from>
        <xdr:to>
          <xdr:col>9</xdr:col>
          <xdr:colOff>514350</xdr:colOff>
          <xdr:row>184</xdr:row>
          <xdr:rowOff>219075</xdr:rowOff>
        </xdr:to>
        <xdr:sp macro="" textlink="">
          <xdr:nvSpPr>
            <xdr:cNvPr id="1193" name="Option Button 169" hidden="1">
              <a:extLst>
                <a:ext uri="{63B3BB69-23CF-44E3-9099-C40C66FF867C}">
                  <a14:compatExt spid="_x0000_s1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184</xdr:row>
          <xdr:rowOff>0</xdr:rowOff>
        </xdr:from>
        <xdr:to>
          <xdr:col>10</xdr:col>
          <xdr:colOff>466725</xdr:colOff>
          <xdr:row>184</xdr:row>
          <xdr:rowOff>219075</xdr:rowOff>
        </xdr:to>
        <xdr:sp macro="" textlink="">
          <xdr:nvSpPr>
            <xdr:cNvPr id="1194" name="Option Button 170" hidden="1">
              <a:extLst>
                <a:ext uri="{63B3BB69-23CF-44E3-9099-C40C66FF867C}">
                  <a14:compatExt spid="_x0000_s1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542925</xdr:colOff>
          <xdr:row>0</xdr:row>
          <xdr:rowOff>0</xdr:rowOff>
        </xdr:from>
        <xdr:to>
          <xdr:col>11</xdr:col>
          <xdr:colOff>180975</xdr:colOff>
          <xdr:row>1</xdr:row>
          <xdr:rowOff>0</xdr:rowOff>
        </xdr:to>
        <xdr:sp macro="" textlink="">
          <xdr:nvSpPr>
            <xdr:cNvPr id="1197" name="Button 173" hidden="1">
              <a:extLst>
                <a:ext uri="{63B3BB69-23CF-44E3-9099-C40C66FF867C}">
                  <a14:compatExt spid="_x0000_s1197"/>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1466850</xdr:colOff>
          <xdr:row>162</xdr:row>
          <xdr:rowOff>28575</xdr:rowOff>
        </xdr:from>
        <xdr:to>
          <xdr:col>6</xdr:col>
          <xdr:colOff>514350</xdr:colOff>
          <xdr:row>166</xdr:row>
          <xdr:rowOff>66675</xdr:rowOff>
        </xdr:to>
        <xdr:sp macro="" textlink="">
          <xdr:nvSpPr>
            <xdr:cNvPr id="1204" name="Group Box 180" hidden="1">
              <a:extLst>
                <a:ext uri="{63B3BB69-23CF-44E3-9099-C40C66FF867C}">
                  <a14:compatExt spid="_x0000_s120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163</xdr:row>
          <xdr:rowOff>9525</xdr:rowOff>
        </xdr:from>
        <xdr:to>
          <xdr:col>6</xdr:col>
          <xdr:colOff>381000</xdr:colOff>
          <xdr:row>163</xdr:row>
          <xdr:rowOff>228600</xdr:rowOff>
        </xdr:to>
        <xdr:sp macro="" textlink="">
          <xdr:nvSpPr>
            <xdr:cNvPr id="1205" name="Option Button 181" hidden="1">
              <a:extLst>
                <a:ext uri="{63B3BB69-23CF-44E3-9099-C40C66FF867C}">
                  <a14:compatExt spid="_x0000_s1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164</xdr:row>
          <xdr:rowOff>9525</xdr:rowOff>
        </xdr:from>
        <xdr:to>
          <xdr:col>6</xdr:col>
          <xdr:colOff>400050</xdr:colOff>
          <xdr:row>164</xdr:row>
          <xdr:rowOff>228600</xdr:rowOff>
        </xdr:to>
        <xdr:sp macro="" textlink="">
          <xdr:nvSpPr>
            <xdr:cNvPr id="1206" name="Option Button 182" hidden="1">
              <a:extLst>
                <a:ext uri="{63B3BB69-23CF-44E3-9099-C40C66FF867C}">
                  <a14:compatExt spid="_x0000_s1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165</xdr:row>
          <xdr:rowOff>9525</xdr:rowOff>
        </xdr:from>
        <xdr:to>
          <xdr:col>6</xdr:col>
          <xdr:colOff>419100</xdr:colOff>
          <xdr:row>165</xdr:row>
          <xdr:rowOff>228600</xdr:rowOff>
        </xdr:to>
        <xdr:sp macro="" textlink="">
          <xdr:nvSpPr>
            <xdr:cNvPr id="1207" name="Option Button 183" hidden="1">
              <a:extLst>
                <a:ext uri="{63B3BB69-23CF-44E3-9099-C40C66FF867C}">
                  <a14:compatExt spid="_x0000_s1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163</xdr:row>
          <xdr:rowOff>9525</xdr:rowOff>
        </xdr:from>
        <xdr:to>
          <xdr:col>7</xdr:col>
          <xdr:colOff>419100</xdr:colOff>
          <xdr:row>163</xdr:row>
          <xdr:rowOff>228600</xdr:rowOff>
        </xdr:to>
        <xdr:sp macro="" textlink="">
          <xdr:nvSpPr>
            <xdr:cNvPr id="1209" name="Option Button 185" hidden="1">
              <a:extLst>
                <a:ext uri="{63B3BB69-23CF-44E3-9099-C40C66FF867C}">
                  <a14:compatExt spid="_x0000_s1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164</xdr:row>
          <xdr:rowOff>9525</xdr:rowOff>
        </xdr:from>
        <xdr:to>
          <xdr:col>7</xdr:col>
          <xdr:colOff>428625</xdr:colOff>
          <xdr:row>164</xdr:row>
          <xdr:rowOff>228600</xdr:rowOff>
        </xdr:to>
        <xdr:sp macro="" textlink="">
          <xdr:nvSpPr>
            <xdr:cNvPr id="1210" name="Option Button 186" hidden="1">
              <a:extLst>
                <a:ext uri="{63B3BB69-23CF-44E3-9099-C40C66FF867C}">
                  <a14:compatExt spid="_x0000_s1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165</xdr:row>
          <xdr:rowOff>9525</xdr:rowOff>
        </xdr:from>
        <xdr:to>
          <xdr:col>7</xdr:col>
          <xdr:colOff>390525</xdr:colOff>
          <xdr:row>165</xdr:row>
          <xdr:rowOff>228600</xdr:rowOff>
        </xdr:to>
        <xdr:sp macro="" textlink="">
          <xdr:nvSpPr>
            <xdr:cNvPr id="1211" name="Option Button 187" hidden="1">
              <a:extLst>
                <a:ext uri="{63B3BB69-23CF-44E3-9099-C40C66FF867C}">
                  <a14:compatExt spid="_x0000_s1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169</xdr:row>
          <xdr:rowOff>19050</xdr:rowOff>
        </xdr:from>
        <xdr:to>
          <xdr:col>7</xdr:col>
          <xdr:colOff>0</xdr:colOff>
          <xdr:row>173</xdr:row>
          <xdr:rowOff>76200</xdr:rowOff>
        </xdr:to>
        <xdr:sp macro="" textlink="">
          <xdr:nvSpPr>
            <xdr:cNvPr id="1213" name="Group Box 189" hidden="1">
              <a:extLst>
                <a:ext uri="{63B3BB69-23CF-44E3-9099-C40C66FF867C}">
                  <a14:compatExt spid="_x0000_s12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170</xdr:row>
          <xdr:rowOff>9525</xdr:rowOff>
        </xdr:from>
        <xdr:to>
          <xdr:col>6</xdr:col>
          <xdr:colOff>428625</xdr:colOff>
          <xdr:row>170</xdr:row>
          <xdr:rowOff>228600</xdr:rowOff>
        </xdr:to>
        <xdr:sp macro="" textlink="">
          <xdr:nvSpPr>
            <xdr:cNvPr id="1215" name="Option Button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171</xdr:row>
          <xdr:rowOff>9525</xdr:rowOff>
        </xdr:from>
        <xdr:to>
          <xdr:col>6</xdr:col>
          <xdr:colOff>438150</xdr:colOff>
          <xdr:row>171</xdr:row>
          <xdr:rowOff>228600</xdr:rowOff>
        </xdr:to>
        <xdr:sp macro="" textlink="">
          <xdr:nvSpPr>
            <xdr:cNvPr id="1216" name="Option Button 192" hidden="1">
              <a:extLst>
                <a:ext uri="{63B3BB69-23CF-44E3-9099-C40C66FF867C}">
                  <a14:compatExt spid="_x0000_s1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172</xdr:row>
          <xdr:rowOff>9525</xdr:rowOff>
        </xdr:from>
        <xdr:to>
          <xdr:col>6</xdr:col>
          <xdr:colOff>409575</xdr:colOff>
          <xdr:row>172</xdr:row>
          <xdr:rowOff>228600</xdr:rowOff>
        </xdr:to>
        <xdr:sp macro="" textlink="">
          <xdr:nvSpPr>
            <xdr:cNvPr id="1217" name="Option Button 193" hidden="1">
              <a:extLst>
                <a:ext uri="{63B3BB69-23CF-44E3-9099-C40C66FF867C}">
                  <a14:compatExt spid="_x0000_s1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172</xdr:row>
          <xdr:rowOff>9525</xdr:rowOff>
        </xdr:from>
        <xdr:to>
          <xdr:col>5</xdr:col>
          <xdr:colOff>428625</xdr:colOff>
          <xdr:row>172</xdr:row>
          <xdr:rowOff>228600</xdr:rowOff>
        </xdr:to>
        <xdr:sp macro="" textlink="">
          <xdr:nvSpPr>
            <xdr:cNvPr id="1218" name="Option Button 194" hidden="1">
              <a:extLst>
                <a:ext uri="{63B3BB69-23CF-44E3-9099-C40C66FF867C}">
                  <a14:compatExt spid="_x0000_s1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1114425</xdr:colOff>
          <xdr:row>169</xdr:row>
          <xdr:rowOff>28575</xdr:rowOff>
        </xdr:from>
        <xdr:to>
          <xdr:col>5</xdr:col>
          <xdr:colOff>523875</xdr:colOff>
          <xdr:row>173</xdr:row>
          <xdr:rowOff>76200</xdr:rowOff>
        </xdr:to>
        <xdr:sp macro="" textlink="">
          <xdr:nvSpPr>
            <xdr:cNvPr id="1219" name="Group Box 195" hidden="1">
              <a:extLst>
                <a:ext uri="{63B3BB69-23CF-44E3-9099-C40C66FF867C}">
                  <a14:compatExt spid="_x0000_s12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6</xdr:col>
      <xdr:colOff>0</xdr:colOff>
      <xdr:row>159</xdr:row>
      <xdr:rowOff>0</xdr:rowOff>
    </xdr:from>
    <xdr:to>
      <xdr:col>7</xdr:col>
      <xdr:colOff>0</xdr:colOff>
      <xdr:row>173</xdr:row>
      <xdr:rowOff>0</xdr:rowOff>
    </xdr:to>
    <xdr:sp macro="" textlink="">
      <xdr:nvSpPr>
        <xdr:cNvPr id="1220" name="Rectangle 196"/>
        <xdr:cNvSpPr>
          <a:spLocks noChangeArrowheads="1"/>
        </xdr:cNvSpPr>
      </xdr:nvSpPr>
      <xdr:spPr bwMode="auto">
        <a:xfrm>
          <a:off x="5353050" y="21555075"/>
          <a:ext cx="581025" cy="2600325"/>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xdr:col>
      <xdr:colOff>0</xdr:colOff>
      <xdr:row>159</xdr:row>
      <xdr:rowOff>0</xdr:rowOff>
    </xdr:from>
    <xdr:to>
      <xdr:col>6</xdr:col>
      <xdr:colOff>0</xdr:colOff>
      <xdr:row>173</xdr:row>
      <xdr:rowOff>0</xdr:rowOff>
    </xdr:to>
    <xdr:sp macro="" textlink="">
      <xdr:nvSpPr>
        <xdr:cNvPr id="1221" name="Rectangle 197"/>
        <xdr:cNvSpPr>
          <a:spLocks noChangeArrowheads="1"/>
        </xdr:cNvSpPr>
      </xdr:nvSpPr>
      <xdr:spPr bwMode="auto">
        <a:xfrm>
          <a:off x="4772025" y="21555075"/>
          <a:ext cx="581025" cy="2600325"/>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0</xdr:colOff>
      <xdr:row>159</xdr:row>
      <xdr:rowOff>0</xdr:rowOff>
    </xdr:from>
    <xdr:to>
      <xdr:col>8</xdr:col>
      <xdr:colOff>0</xdr:colOff>
      <xdr:row>169</xdr:row>
      <xdr:rowOff>0</xdr:rowOff>
    </xdr:to>
    <xdr:sp macro="" textlink="">
      <xdr:nvSpPr>
        <xdr:cNvPr id="1212" name="Rectangle 188"/>
        <xdr:cNvSpPr>
          <a:spLocks noChangeArrowheads="1"/>
        </xdr:cNvSpPr>
      </xdr:nvSpPr>
      <xdr:spPr bwMode="auto">
        <a:xfrm>
          <a:off x="5181600" y="31823025"/>
          <a:ext cx="676275" cy="1962150"/>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11</xdr:col>
          <xdr:colOff>38100</xdr:colOff>
          <xdr:row>162</xdr:row>
          <xdr:rowOff>9525</xdr:rowOff>
        </xdr:from>
        <xdr:to>
          <xdr:col>11</xdr:col>
          <xdr:colOff>552450</xdr:colOff>
          <xdr:row>162</xdr:row>
          <xdr:rowOff>228600</xdr:rowOff>
        </xdr:to>
        <xdr:sp macro="" textlink="">
          <xdr:nvSpPr>
            <xdr:cNvPr id="1229" name="Option Button 205" hidden="1">
              <a:extLst>
                <a:ext uri="{63B3BB69-23CF-44E3-9099-C40C66FF867C}">
                  <a14:compatExt spid="_x0000_s1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163</xdr:row>
          <xdr:rowOff>9525</xdr:rowOff>
        </xdr:from>
        <xdr:to>
          <xdr:col>11</xdr:col>
          <xdr:colOff>552450</xdr:colOff>
          <xdr:row>163</xdr:row>
          <xdr:rowOff>228600</xdr:rowOff>
        </xdr:to>
        <xdr:sp macro="" textlink="">
          <xdr:nvSpPr>
            <xdr:cNvPr id="1230" name="Option Button 206" hidden="1">
              <a:extLst>
                <a:ext uri="{63B3BB69-23CF-44E3-9099-C40C66FF867C}">
                  <a14:compatExt spid="_x0000_s1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159</xdr:row>
          <xdr:rowOff>0</xdr:rowOff>
        </xdr:from>
        <xdr:to>
          <xdr:col>12</xdr:col>
          <xdr:colOff>104775</xdr:colOff>
          <xdr:row>164</xdr:row>
          <xdr:rowOff>95250</xdr:rowOff>
        </xdr:to>
        <xdr:sp macro="" textlink="">
          <xdr:nvSpPr>
            <xdr:cNvPr id="1231" name="Group Box 207" hidden="1">
              <a:extLst>
                <a:ext uri="{63B3BB69-23CF-44E3-9099-C40C66FF867C}">
                  <a14:compatExt spid="_x0000_s12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284</xdr:row>
          <xdr:rowOff>9525</xdr:rowOff>
        </xdr:from>
        <xdr:to>
          <xdr:col>4</xdr:col>
          <xdr:colOff>428625</xdr:colOff>
          <xdr:row>284</xdr:row>
          <xdr:rowOff>228600</xdr:rowOff>
        </xdr:to>
        <xdr:sp macro="" textlink="">
          <xdr:nvSpPr>
            <xdr:cNvPr id="1236" name="Option Button 212" hidden="1">
              <a:extLst>
                <a:ext uri="{63B3BB69-23CF-44E3-9099-C40C66FF867C}">
                  <a14:compatExt spid="_x0000_s1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par lapin produit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284</xdr:row>
          <xdr:rowOff>9525</xdr:rowOff>
        </xdr:from>
        <xdr:to>
          <xdr:col>7</xdr:col>
          <xdr:colOff>323850</xdr:colOff>
          <xdr:row>284</xdr:row>
          <xdr:rowOff>228600</xdr:rowOff>
        </xdr:to>
        <xdr:sp macro="" textlink="">
          <xdr:nvSpPr>
            <xdr:cNvPr id="1237" name="Option Button 213" hidden="1">
              <a:extLst>
                <a:ext uri="{63B3BB69-23CF-44E3-9099-C40C66FF867C}">
                  <a14:compatExt spid="_x0000_s1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par place de reproductrice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284</xdr:row>
          <xdr:rowOff>0</xdr:rowOff>
        </xdr:from>
        <xdr:to>
          <xdr:col>7</xdr:col>
          <xdr:colOff>561975</xdr:colOff>
          <xdr:row>285</xdr:row>
          <xdr:rowOff>9525</xdr:rowOff>
        </xdr:to>
        <xdr:sp macro="" textlink="">
          <xdr:nvSpPr>
            <xdr:cNvPr id="1238" name="Group Box 214" hidden="1">
              <a:extLst>
                <a:ext uri="{63B3BB69-23CF-44E3-9099-C40C66FF867C}">
                  <a14:compatExt spid="_x0000_s123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223</xdr:row>
          <xdr:rowOff>0</xdr:rowOff>
        </xdr:from>
        <xdr:to>
          <xdr:col>7</xdr:col>
          <xdr:colOff>228600</xdr:colOff>
          <xdr:row>224</xdr:row>
          <xdr:rowOff>9525</xdr:rowOff>
        </xdr:to>
        <xdr:sp macro="" textlink="">
          <xdr:nvSpPr>
            <xdr:cNvPr id="1246" name="Group Box 222" hidden="1">
              <a:extLst>
                <a:ext uri="{63B3BB69-23CF-44E3-9099-C40C66FF867C}">
                  <a14:compatExt spid="_x0000_s12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223</xdr:row>
          <xdr:rowOff>9525</xdr:rowOff>
        </xdr:from>
        <xdr:to>
          <xdr:col>4</xdr:col>
          <xdr:colOff>104775</xdr:colOff>
          <xdr:row>223</xdr:row>
          <xdr:rowOff>228600</xdr:rowOff>
        </xdr:to>
        <xdr:sp macro="" textlink="">
          <xdr:nvSpPr>
            <xdr:cNvPr id="1247" name="Option Button 223" hidden="1">
              <a:extLst>
                <a:ext uri="{63B3BB69-23CF-44E3-9099-C40C66FF867C}">
                  <a14:compatExt spid="_x0000_s1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223</xdr:row>
          <xdr:rowOff>9525</xdr:rowOff>
        </xdr:from>
        <xdr:to>
          <xdr:col>5</xdr:col>
          <xdr:colOff>333375</xdr:colOff>
          <xdr:row>223</xdr:row>
          <xdr:rowOff>228600</xdr:rowOff>
        </xdr:to>
        <xdr:sp macro="" textlink="">
          <xdr:nvSpPr>
            <xdr:cNvPr id="1248" name="Option Button 224" hidden="1">
              <a:extLst>
                <a:ext uri="{63B3BB69-23CF-44E3-9099-C40C66FF867C}">
                  <a14:compatExt spid="_x0000_s1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223</xdr:row>
          <xdr:rowOff>9525</xdr:rowOff>
        </xdr:from>
        <xdr:to>
          <xdr:col>6</xdr:col>
          <xdr:colOff>514350</xdr:colOff>
          <xdr:row>223</xdr:row>
          <xdr:rowOff>228600</xdr:rowOff>
        </xdr:to>
        <xdr:sp macro="" textlink="">
          <xdr:nvSpPr>
            <xdr:cNvPr id="1249" name="Option Button 225" hidden="1">
              <a:extLst>
                <a:ext uri="{63B3BB69-23CF-44E3-9099-C40C66FF867C}">
                  <a14:compatExt spid="_x0000_s1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pâturage</a:t>
              </a:r>
            </a:p>
          </xdr:txBody>
        </xdr:sp>
        <xdr:clientData/>
      </xdr:twoCellAnchor>
    </mc:Choice>
    <mc:Fallback/>
  </mc:AlternateContent>
  <xdr:twoCellAnchor>
    <xdr:from>
      <xdr:col>5</xdr:col>
      <xdr:colOff>19050</xdr:colOff>
      <xdr:row>147</xdr:row>
      <xdr:rowOff>28575</xdr:rowOff>
    </xdr:from>
    <xdr:to>
      <xdr:col>5</xdr:col>
      <xdr:colOff>133350</xdr:colOff>
      <xdr:row>150</xdr:row>
      <xdr:rowOff>228600</xdr:rowOff>
    </xdr:to>
    <xdr:sp macro="" textlink="">
      <xdr:nvSpPr>
        <xdr:cNvPr id="1408" name="AutoShape 384"/>
        <xdr:cNvSpPr>
          <a:spLocks/>
        </xdr:cNvSpPr>
      </xdr:nvSpPr>
      <xdr:spPr bwMode="auto">
        <a:xfrm>
          <a:off x="4791075" y="18888075"/>
          <a:ext cx="114300" cy="914400"/>
        </a:xfrm>
        <a:prstGeom prst="rightBrace">
          <a:avLst>
            <a:gd name="adj1" fmla="val 66667"/>
            <a:gd name="adj2" fmla="val 37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238125</xdr:colOff>
      <xdr:row>23</xdr:row>
      <xdr:rowOff>142875</xdr:rowOff>
    </xdr:from>
    <xdr:to>
      <xdr:col>6</xdr:col>
      <xdr:colOff>561975</xdr:colOff>
      <xdr:row>23</xdr:row>
      <xdr:rowOff>142875</xdr:rowOff>
    </xdr:to>
    <xdr:sp macro="" textlink="">
      <xdr:nvSpPr>
        <xdr:cNvPr id="1410" name="Line 386"/>
        <xdr:cNvSpPr>
          <a:spLocks noChangeShapeType="1"/>
        </xdr:cNvSpPr>
      </xdr:nvSpPr>
      <xdr:spPr bwMode="auto">
        <a:xfrm>
          <a:off x="5591175" y="2762250"/>
          <a:ext cx="323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238124</xdr:colOff>
      <xdr:row>23</xdr:row>
      <xdr:rowOff>142876</xdr:rowOff>
    </xdr:from>
    <xdr:to>
      <xdr:col>6</xdr:col>
      <xdr:colOff>552449</xdr:colOff>
      <xdr:row>25</xdr:row>
      <xdr:rowOff>152401</xdr:rowOff>
    </xdr:to>
    <xdr:sp macro="" textlink="">
      <xdr:nvSpPr>
        <xdr:cNvPr id="1411" name="Line 387"/>
        <xdr:cNvSpPr>
          <a:spLocks noChangeShapeType="1"/>
        </xdr:cNvSpPr>
      </xdr:nvSpPr>
      <xdr:spPr bwMode="auto">
        <a:xfrm>
          <a:off x="4552949" y="2762251"/>
          <a:ext cx="314325" cy="247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457200</xdr:colOff>
          <xdr:row>174</xdr:row>
          <xdr:rowOff>228600</xdr:rowOff>
        </xdr:from>
        <xdr:to>
          <xdr:col>11</xdr:col>
          <xdr:colOff>190500</xdr:colOff>
          <xdr:row>176</xdr:row>
          <xdr:rowOff>0</xdr:rowOff>
        </xdr:to>
        <xdr:sp macro="" textlink="">
          <xdr:nvSpPr>
            <xdr:cNvPr id="1431" name="Group Box 407" hidden="1">
              <a:extLst>
                <a:ext uri="{63B3BB69-23CF-44E3-9099-C40C66FF867C}">
                  <a14:compatExt spid="_x0000_s14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183</xdr:row>
          <xdr:rowOff>0</xdr:rowOff>
        </xdr:from>
        <xdr:to>
          <xdr:col>11</xdr:col>
          <xdr:colOff>209550</xdr:colOff>
          <xdr:row>184</xdr:row>
          <xdr:rowOff>9525</xdr:rowOff>
        </xdr:to>
        <xdr:sp macro="" textlink="">
          <xdr:nvSpPr>
            <xdr:cNvPr id="1435" name="Group Box 411" hidden="1">
              <a:extLst>
                <a:ext uri="{63B3BB69-23CF-44E3-9099-C40C66FF867C}">
                  <a14:compatExt spid="_x0000_s143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4</xdr:col>
      <xdr:colOff>419100</xdr:colOff>
      <xdr:row>140</xdr:row>
      <xdr:rowOff>133350</xdr:rowOff>
    </xdr:from>
    <xdr:to>
      <xdr:col>9</xdr:col>
      <xdr:colOff>352425</xdr:colOff>
      <xdr:row>145</xdr:row>
      <xdr:rowOff>57150</xdr:rowOff>
    </xdr:to>
    <xdr:grpSp>
      <xdr:nvGrpSpPr>
        <xdr:cNvPr id="10" name="Groupe 9"/>
        <xdr:cNvGrpSpPr/>
      </xdr:nvGrpSpPr>
      <xdr:grpSpPr>
        <a:xfrm>
          <a:off x="3895725" y="29908500"/>
          <a:ext cx="2933700" cy="971550"/>
          <a:chOff x="3800475" y="17811750"/>
          <a:chExt cx="2838450" cy="971550"/>
        </a:xfrm>
      </xdr:grpSpPr>
      <xdr:cxnSp macro="">
        <xdr:nvCxnSpPr>
          <xdr:cNvPr id="4" name="Connecteur droit 3"/>
          <xdr:cNvCxnSpPr/>
        </xdr:nvCxnSpPr>
        <xdr:spPr>
          <a:xfrm>
            <a:off x="3800475" y="17811750"/>
            <a:ext cx="2838450" cy="0"/>
          </a:xfrm>
          <a:prstGeom prst="line">
            <a:avLst/>
          </a:prstGeom>
          <a:ln w="15875"/>
        </xdr:spPr>
        <xdr:style>
          <a:lnRef idx="1">
            <a:schemeClr val="dk1"/>
          </a:lnRef>
          <a:fillRef idx="0">
            <a:schemeClr val="dk1"/>
          </a:fillRef>
          <a:effectRef idx="0">
            <a:schemeClr val="dk1"/>
          </a:effectRef>
          <a:fontRef idx="minor">
            <a:schemeClr val="tx1"/>
          </a:fontRef>
        </xdr:style>
      </xdr:cxnSp>
      <xdr:cxnSp macro="">
        <xdr:nvCxnSpPr>
          <xdr:cNvPr id="7" name="Connecteur droit avec flèche 6"/>
          <xdr:cNvCxnSpPr/>
        </xdr:nvCxnSpPr>
        <xdr:spPr>
          <a:xfrm>
            <a:off x="6629400" y="17811750"/>
            <a:ext cx="0" cy="9715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381000</xdr:colOff>
      <xdr:row>147</xdr:row>
      <xdr:rowOff>47625</xdr:rowOff>
    </xdr:from>
    <xdr:to>
      <xdr:col>9</xdr:col>
      <xdr:colOff>352425</xdr:colOff>
      <xdr:row>148</xdr:row>
      <xdr:rowOff>142875</xdr:rowOff>
    </xdr:to>
    <xdr:grpSp>
      <xdr:nvGrpSpPr>
        <xdr:cNvPr id="11" name="Groupe 10"/>
        <xdr:cNvGrpSpPr/>
      </xdr:nvGrpSpPr>
      <xdr:grpSpPr>
        <a:xfrm>
          <a:off x="5019675" y="31203900"/>
          <a:ext cx="1809750" cy="333375"/>
          <a:chOff x="4591050" y="19107150"/>
          <a:chExt cx="2047875" cy="447675"/>
        </a:xfrm>
      </xdr:grpSpPr>
      <xdr:cxnSp macro="">
        <xdr:nvCxnSpPr>
          <xdr:cNvPr id="133" name="Connecteur droit 132"/>
          <xdr:cNvCxnSpPr/>
        </xdr:nvCxnSpPr>
        <xdr:spPr>
          <a:xfrm rot="10800000">
            <a:off x="4591050" y="19554825"/>
            <a:ext cx="2047875" cy="0"/>
          </a:xfrm>
          <a:prstGeom prst="line">
            <a:avLst/>
          </a:prstGeom>
          <a:ln w="15875"/>
        </xdr:spPr>
        <xdr:style>
          <a:lnRef idx="1">
            <a:schemeClr val="dk1"/>
          </a:lnRef>
          <a:fillRef idx="0">
            <a:schemeClr val="dk1"/>
          </a:fillRef>
          <a:effectRef idx="0">
            <a:schemeClr val="dk1"/>
          </a:effectRef>
          <a:fontRef idx="minor">
            <a:schemeClr val="tx1"/>
          </a:fontRef>
        </xdr:style>
      </xdr:cxnSp>
      <xdr:cxnSp macro="">
        <xdr:nvCxnSpPr>
          <xdr:cNvPr id="134" name="Connecteur droit avec flèche 133"/>
          <xdr:cNvCxnSpPr/>
        </xdr:nvCxnSpPr>
        <xdr:spPr>
          <a:xfrm flipV="1">
            <a:off x="6629400" y="19107150"/>
            <a:ext cx="0" cy="44767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223839</xdr:colOff>
      <xdr:row>23</xdr:row>
      <xdr:rowOff>142876</xdr:rowOff>
    </xdr:from>
    <xdr:to>
      <xdr:col>6</xdr:col>
      <xdr:colOff>561975</xdr:colOff>
      <xdr:row>24</xdr:row>
      <xdr:rowOff>133351</xdr:rowOff>
    </xdr:to>
    <xdr:sp macro="" textlink="">
      <xdr:nvSpPr>
        <xdr:cNvPr id="126" name="Line 387"/>
        <xdr:cNvSpPr>
          <a:spLocks noChangeShapeType="1"/>
        </xdr:cNvSpPr>
      </xdr:nvSpPr>
      <xdr:spPr bwMode="auto">
        <a:xfrm>
          <a:off x="4824414" y="3286126"/>
          <a:ext cx="338136"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56</xdr:row>
      <xdr:rowOff>123825</xdr:rowOff>
    </xdr:from>
    <xdr:to>
      <xdr:col>5</xdr:col>
      <xdr:colOff>561975</xdr:colOff>
      <xdr:row>56</xdr:row>
      <xdr:rowOff>123825</xdr:rowOff>
    </xdr:to>
    <xdr:sp macro="" textlink="">
      <xdr:nvSpPr>
        <xdr:cNvPr id="122" name="Line 420"/>
        <xdr:cNvSpPr>
          <a:spLocks noChangeShapeType="1"/>
        </xdr:cNvSpPr>
      </xdr:nvSpPr>
      <xdr:spPr bwMode="auto">
        <a:xfrm flipV="1">
          <a:off x="3381375" y="9525000"/>
          <a:ext cx="1143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9525</xdr:colOff>
      <xdr:row>57</xdr:row>
      <xdr:rowOff>114300</xdr:rowOff>
    </xdr:from>
    <xdr:to>
      <xdr:col>5</xdr:col>
      <xdr:colOff>571500</xdr:colOff>
      <xdr:row>57</xdr:row>
      <xdr:rowOff>114300</xdr:rowOff>
    </xdr:to>
    <xdr:sp macro="" textlink="">
      <xdr:nvSpPr>
        <xdr:cNvPr id="145" name="Line 420"/>
        <xdr:cNvSpPr>
          <a:spLocks noChangeShapeType="1"/>
        </xdr:cNvSpPr>
      </xdr:nvSpPr>
      <xdr:spPr bwMode="auto">
        <a:xfrm flipV="1">
          <a:off x="3390900" y="9753600"/>
          <a:ext cx="1143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12</xdr:col>
          <xdr:colOff>342900</xdr:colOff>
          <xdr:row>0</xdr:row>
          <xdr:rowOff>0</xdr:rowOff>
        </xdr:from>
        <xdr:to>
          <xdr:col>14</xdr:col>
          <xdr:colOff>266700</xdr:colOff>
          <xdr:row>2</xdr:row>
          <xdr:rowOff>85725</xdr:rowOff>
        </xdr:to>
        <xdr:sp macro="" textlink="">
          <xdr:nvSpPr>
            <xdr:cNvPr id="1522" name="Button 498" hidden="1">
              <a:extLst>
                <a:ext uri="{63B3BB69-23CF-44E3-9099-C40C66FF867C}">
                  <a14:compatExt spid="_x0000_s1522"/>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008000"/>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211</xdr:row>
          <xdr:rowOff>0</xdr:rowOff>
        </xdr:from>
        <xdr:to>
          <xdr:col>3</xdr:col>
          <xdr:colOff>571500</xdr:colOff>
          <xdr:row>211</xdr:row>
          <xdr:rowOff>219075</xdr:rowOff>
        </xdr:to>
        <xdr:sp macro="" textlink="">
          <xdr:nvSpPr>
            <xdr:cNvPr id="1527" name="Option Button 503" hidden="1">
              <a:extLst>
                <a:ext uri="{63B3BB69-23CF-44E3-9099-C40C66FF867C}">
                  <a14:compatExt spid="_x0000_s1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211</xdr:row>
          <xdr:rowOff>0</xdr:rowOff>
        </xdr:from>
        <xdr:to>
          <xdr:col>4</xdr:col>
          <xdr:colOff>314325</xdr:colOff>
          <xdr:row>211</xdr:row>
          <xdr:rowOff>219075</xdr:rowOff>
        </xdr:to>
        <xdr:sp macro="" textlink="">
          <xdr:nvSpPr>
            <xdr:cNvPr id="1528" name="Option Button 504" hidden="1">
              <a:extLst>
                <a:ext uri="{63B3BB69-23CF-44E3-9099-C40C66FF867C}">
                  <a14:compatExt spid="_x0000_s1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210</xdr:row>
          <xdr:rowOff>238125</xdr:rowOff>
        </xdr:from>
        <xdr:to>
          <xdr:col>4</xdr:col>
          <xdr:colOff>447675</xdr:colOff>
          <xdr:row>212</xdr:row>
          <xdr:rowOff>0</xdr:rowOff>
        </xdr:to>
        <xdr:sp macro="" textlink="">
          <xdr:nvSpPr>
            <xdr:cNvPr id="1529" name="Group Box 505" hidden="1">
              <a:extLst>
                <a:ext uri="{63B3BB69-23CF-44E3-9099-C40C66FF867C}">
                  <a14:compatExt spid="_x0000_s152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208</xdr:row>
          <xdr:rowOff>0</xdr:rowOff>
        </xdr:from>
        <xdr:to>
          <xdr:col>3</xdr:col>
          <xdr:colOff>571500</xdr:colOff>
          <xdr:row>208</xdr:row>
          <xdr:rowOff>219075</xdr:rowOff>
        </xdr:to>
        <xdr:sp macro="" textlink="">
          <xdr:nvSpPr>
            <xdr:cNvPr id="1530" name="Option Button 506" hidden="1">
              <a:extLst>
                <a:ext uri="{63B3BB69-23CF-44E3-9099-C40C66FF867C}">
                  <a14:compatExt spid="_x0000_s1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208</xdr:row>
          <xdr:rowOff>0</xdr:rowOff>
        </xdr:from>
        <xdr:to>
          <xdr:col>4</xdr:col>
          <xdr:colOff>314325</xdr:colOff>
          <xdr:row>208</xdr:row>
          <xdr:rowOff>219075</xdr:rowOff>
        </xdr:to>
        <xdr:sp macro="" textlink="">
          <xdr:nvSpPr>
            <xdr:cNvPr id="1531" name="Option Button 507" hidden="1">
              <a:extLst>
                <a:ext uri="{63B3BB69-23CF-44E3-9099-C40C66FF867C}">
                  <a14:compatExt spid="_x0000_s1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207</xdr:row>
          <xdr:rowOff>238125</xdr:rowOff>
        </xdr:from>
        <xdr:to>
          <xdr:col>4</xdr:col>
          <xdr:colOff>447675</xdr:colOff>
          <xdr:row>209</xdr:row>
          <xdr:rowOff>0</xdr:rowOff>
        </xdr:to>
        <xdr:sp macro="" textlink="">
          <xdr:nvSpPr>
            <xdr:cNvPr id="1532" name="Group Box 508" hidden="1">
              <a:extLst>
                <a:ext uri="{63B3BB69-23CF-44E3-9099-C40C66FF867C}">
                  <a14:compatExt spid="_x0000_s153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46</xdr:col>
      <xdr:colOff>200026</xdr:colOff>
      <xdr:row>38</xdr:row>
      <xdr:rowOff>142875</xdr:rowOff>
    </xdr:from>
    <xdr:to>
      <xdr:col>49</xdr:col>
      <xdr:colOff>552451</xdr:colOff>
      <xdr:row>48</xdr:row>
      <xdr:rowOff>76200</xdr:rowOff>
    </xdr:to>
    <xdr:graphicFrame macro="">
      <xdr:nvGraphicFramePr>
        <xdr:cNvPr id="132" name="Graphique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31</xdr:col>
      <xdr:colOff>19050</xdr:colOff>
      <xdr:row>40</xdr:row>
      <xdr:rowOff>9525</xdr:rowOff>
    </xdr:from>
    <xdr:to>
      <xdr:col>42</xdr:col>
      <xdr:colOff>904875</xdr:colOff>
      <xdr:row>45</xdr:row>
      <xdr:rowOff>85725</xdr:rowOff>
    </xdr:to>
    <xdr:cxnSp macro="">
      <xdr:nvCxnSpPr>
        <xdr:cNvPr id="3" name="Connecteur droit avec flèche 2"/>
        <xdr:cNvCxnSpPr/>
      </xdr:nvCxnSpPr>
      <xdr:spPr>
        <a:xfrm flipV="1">
          <a:off x="15821025" y="7067550"/>
          <a:ext cx="8963025" cy="10287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0</xdr:colOff>
          <xdr:row>220</xdr:row>
          <xdr:rowOff>0</xdr:rowOff>
        </xdr:from>
        <xdr:to>
          <xdr:col>7</xdr:col>
          <xdr:colOff>219075</xdr:colOff>
          <xdr:row>221</xdr:row>
          <xdr:rowOff>9525</xdr:rowOff>
        </xdr:to>
        <xdr:sp macro="" textlink="">
          <xdr:nvSpPr>
            <xdr:cNvPr id="1538" name="Group Box 514" hidden="1">
              <a:extLst>
                <a:ext uri="{63B3BB69-23CF-44E3-9099-C40C66FF867C}">
                  <a14:compatExt spid="_x0000_s153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220</xdr:row>
          <xdr:rowOff>9525</xdr:rowOff>
        </xdr:from>
        <xdr:to>
          <xdr:col>5</xdr:col>
          <xdr:colOff>561975</xdr:colOff>
          <xdr:row>220</xdr:row>
          <xdr:rowOff>228600</xdr:rowOff>
        </xdr:to>
        <xdr:sp macro="" textlink="">
          <xdr:nvSpPr>
            <xdr:cNvPr id="1539" name="Option Button 515" hidden="1">
              <a:extLst>
                <a:ext uri="{63B3BB69-23CF-44E3-9099-C40C66FF867C}">
                  <a14:compatExt spid="_x0000_s1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220</xdr:row>
          <xdr:rowOff>9525</xdr:rowOff>
        </xdr:from>
        <xdr:to>
          <xdr:col>6</xdr:col>
          <xdr:colOff>561975</xdr:colOff>
          <xdr:row>220</xdr:row>
          <xdr:rowOff>228600</xdr:rowOff>
        </xdr:to>
        <xdr:sp macro="" textlink="">
          <xdr:nvSpPr>
            <xdr:cNvPr id="1540" name="Option Button 516" hidden="1">
              <a:extLst>
                <a:ext uri="{63B3BB69-23CF-44E3-9099-C40C66FF867C}">
                  <a14:compatExt spid="_x0000_s1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xdr:wsDr>
</file>

<file path=xl/drawings/drawing20.xml><?xml version="1.0" encoding="utf-8"?>
<c:userShapes xmlns:c="http://schemas.openxmlformats.org/drawingml/2006/chart">
  <cdr:relSizeAnchor xmlns:cdr="http://schemas.openxmlformats.org/drawingml/2006/chartDrawing">
    <cdr:from>
      <cdr:x>0.10705</cdr:x>
      <cdr:y>0.27561</cdr:y>
    </cdr:from>
    <cdr:to>
      <cdr:x>0.6604</cdr:x>
      <cdr:y>0.4021</cdr:y>
    </cdr:to>
    <cdr:sp macro="" textlink="">
      <cdr:nvSpPr>
        <cdr:cNvPr id="26625" name="Line 1"/>
        <cdr:cNvSpPr>
          <a:spLocks xmlns:a="http://schemas.openxmlformats.org/drawingml/2006/main" noChangeShapeType="1"/>
        </cdr:cNvSpPr>
      </cdr:nvSpPr>
      <cdr:spPr bwMode="auto">
        <a:xfrm xmlns:a="http://schemas.openxmlformats.org/drawingml/2006/main" flipV="1">
          <a:off x="412055" y="559711"/>
          <a:ext cx="2113526" cy="25541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0.10705</cdr:x>
      <cdr:y>0.35827</cdr:y>
    </cdr:from>
    <cdr:to>
      <cdr:x>0.66332</cdr:x>
      <cdr:y>0.51453</cdr:y>
    </cdr:to>
    <cdr:sp macro="" textlink="">
      <cdr:nvSpPr>
        <cdr:cNvPr id="26627" name="Line 3"/>
        <cdr:cNvSpPr>
          <a:spLocks xmlns:a="http://schemas.openxmlformats.org/drawingml/2006/main" noChangeShapeType="1"/>
        </cdr:cNvSpPr>
      </cdr:nvSpPr>
      <cdr:spPr bwMode="auto">
        <a:xfrm xmlns:a="http://schemas.openxmlformats.org/drawingml/2006/main" flipV="1">
          <a:off x="412055" y="726623"/>
          <a:ext cx="2124699" cy="31554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0.10486</cdr:x>
      <cdr:y>0.4021</cdr:y>
    </cdr:from>
    <cdr:to>
      <cdr:x>0.6604</cdr:x>
      <cdr:y>0.55503</cdr:y>
    </cdr:to>
    <cdr:sp macro="" textlink="">
      <cdr:nvSpPr>
        <cdr:cNvPr id="26628" name="Line 4"/>
        <cdr:cNvSpPr>
          <a:spLocks xmlns:a="http://schemas.openxmlformats.org/drawingml/2006/main" noChangeShapeType="1"/>
        </cdr:cNvSpPr>
      </cdr:nvSpPr>
      <cdr:spPr bwMode="auto">
        <a:xfrm xmlns:a="http://schemas.openxmlformats.org/drawingml/2006/main" flipV="1">
          <a:off x="403675" y="815129"/>
          <a:ext cx="2121906" cy="30881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0.10486</cdr:x>
      <cdr:y>0.35827</cdr:y>
    </cdr:from>
    <cdr:to>
      <cdr:x>0.6604</cdr:x>
      <cdr:y>0.4283</cdr:y>
    </cdr:to>
    <cdr:sp macro="" textlink="">
      <cdr:nvSpPr>
        <cdr:cNvPr id="26629" name="Line 5"/>
        <cdr:cNvSpPr>
          <a:spLocks xmlns:a="http://schemas.openxmlformats.org/drawingml/2006/main" noChangeShapeType="1"/>
        </cdr:cNvSpPr>
      </cdr:nvSpPr>
      <cdr:spPr bwMode="auto">
        <a:xfrm xmlns:a="http://schemas.openxmlformats.org/drawingml/2006/main" flipV="1">
          <a:off x="403675" y="726623"/>
          <a:ext cx="2121906" cy="141417"/>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0.10705</cdr:x>
      <cdr:y>0.18771</cdr:y>
    </cdr:from>
    <cdr:to>
      <cdr:x>0.6604</cdr:x>
      <cdr:y>0.35827</cdr:y>
    </cdr:to>
    <cdr:sp macro="" textlink="">
      <cdr:nvSpPr>
        <cdr:cNvPr id="26630" name="Line 6"/>
        <cdr:cNvSpPr>
          <a:spLocks xmlns:a="http://schemas.openxmlformats.org/drawingml/2006/main" noChangeShapeType="1"/>
        </cdr:cNvSpPr>
      </cdr:nvSpPr>
      <cdr:spPr bwMode="auto">
        <a:xfrm xmlns:a="http://schemas.openxmlformats.org/drawingml/2006/main" flipV="1">
          <a:off x="412055" y="382218"/>
          <a:ext cx="2113526" cy="34440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0.10486</cdr:x>
      <cdr:y>0.4545</cdr:y>
    </cdr:from>
    <cdr:to>
      <cdr:x>0.6604</cdr:x>
      <cdr:y>0.58528</cdr:y>
    </cdr:to>
    <cdr:sp macro="" textlink="">
      <cdr:nvSpPr>
        <cdr:cNvPr id="26631" name="Line 7"/>
        <cdr:cNvSpPr>
          <a:spLocks xmlns:a="http://schemas.openxmlformats.org/drawingml/2006/main" noChangeShapeType="1"/>
        </cdr:cNvSpPr>
      </cdr:nvSpPr>
      <cdr:spPr bwMode="auto">
        <a:xfrm xmlns:a="http://schemas.openxmlformats.org/drawingml/2006/main" flipV="1">
          <a:off x="403675" y="920952"/>
          <a:ext cx="2121906" cy="26407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1.xml><?xml version="1.0" encoding="utf-8"?>
<c:userShapes xmlns:c="http://schemas.openxmlformats.org/drawingml/2006/chart">
  <cdr:relSizeAnchor xmlns:cdr="http://schemas.openxmlformats.org/drawingml/2006/chartDrawing">
    <cdr:from>
      <cdr:x>0.07731</cdr:x>
      <cdr:y>0.27561</cdr:y>
    </cdr:from>
    <cdr:to>
      <cdr:x>0.77546</cdr:x>
      <cdr:y>0.34064</cdr:y>
    </cdr:to>
    <cdr:sp macro="" textlink="">
      <cdr:nvSpPr>
        <cdr:cNvPr id="30721" name="Line 1"/>
        <cdr:cNvSpPr>
          <a:spLocks xmlns:a="http://schemas.openxmlformats.org/drawingml/2006/main" noChangeShapeType="1"/>
        </cdr:cNvSpPr>
      </cdr:nvSpPr>
      <cdr:spPr bwMode="auto">
        <a:xfrm xmlns:a="http://schemas.openxmlformats.org/drawingml/2006/main" flipV="1">
          <a:off x="298464" y="559711"/>
          <a:ext cx="2666581" cy="131317"/>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0.48904</cdr:y>
    </cdr:from>
    <cdr:to>
      <cdr:x>0.67819</cdr:x>
      <cdr:y>0.64697</cdr:y>
    </cdr:to>
    <cdr:sp macro="" textlink="">
      <cdr:nvSpPr>
        <cdr:cNvPr id="30723" name="Line 3"/>
        <cdr:cNvSpPr>
          <a:spLocks xmlns:a="http://schemas.openxmlformats.org/drawingml/2006/main" noChangeShapeType="1"/>
        </cdr:cNvSpPr>
      </cdr:nvSpPr>
      <cdr:spPr bwMode="auto">
        <a:xfrm xmlns:a="http://schemas.openxmlformats.org/drawingml/2006/main" flipV="1">
          <a:off x="298464" y="990698"/>
          <a:ext cx="2295085" cy="318912"/>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0.31944</cdr:y>
    </cdr:from>
    <cdr:to>
      <cdr:x>0.90026</cdr:x>
      <cdr:y>0.41496</cdr:y>
    </cdr:to>
    <cdr:sp macro="" textlink="">
      <cdr:nvSpPr>
        <cdr:cNvPr id="30724" name="Line 4"/>
        <cdr:cNvSpPr>
          <a:spLocks xmlns:a="http://schemas.openxmlformats.org/drawingml/2006/main" noChangeShapeType="1"/>
        </cdr:cNvSpPr>
      </cdr:nvSpPr>
      <cdr:spPr bwMode="auto">
        <a:xfrm xmlns:a="http://schemas.openxmlformats.org/drawingml/2006/main" flipV="1">
          <a:off x="298464" y="648218"/>
          <a:ext cx="3143288" cy="192886"/>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0.03416</cdr:x>
      <cdr:y>0.18771</cdr:y>
    </cdr:from>
    <cdr:to>
      <cdr:x>0.74596</cdr:x>
      <cdr:y>0.27561</cdr:y>
    </cdr:to>
    <cdr:sp macro="" textlink="">
      <cdr:nvSpPr>
        <cdr:cNvPr id="30725" name="Line 5"/>
        <cdr:cNvSpPr>
          <a:spLocks xmlns:a="http://schemas.openxmlformats.org/drawingml/2006/main" noChangeShapeType="1"/>
        </cdr:cNvSpPr>
      </cdr:nvSpPr>
      <cdr:spPr bwMode="auto">
        <a:xfrm xmlns:a="http://schemas.openxmlformats.org/drawingml/2006/main" flipV="1">
          <a:off x="133665" y="382218"/>
          <a:ext cx="2718721" cy="17749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0.02222</cdr:x>
      <cdr:y>0.4545</cdr:y>
    </cdr:from>
    <cdr:to>
      <cdr:x>0.67819</cdr:x>
      <cdr:y>0.60719</cdr:y>
    </cdr:to>
    <cdr:sp macro="" textlink="">
      <cdr:nvSpPr>
        <cdr:cNvPr id="30730" name="Line 10"/>
        <cdr:cNvSpPr>
          <a:spLocks xmlns:a="http://schemas.openxmlformats.org/drawingml/2006/main" noChangeShapeType="1"/>
        </cdr:cNvSpPr>
      </cdr:nvSpPr>
      <cdr:spPr bwMode="auto">
        <a:xfrm xmlns:a="http://schemas.openxmlformats.org/drawingml/2006/main" flipV="1">
          <a:off x="88043" y="920952"/>
          <a:ext cx="2505506" cy="3083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0.54645</cdr:y>
    </cdr:from>
    <cdr:to>
      <cdr:x>0.67819</cdr:x>
      <cdr:y>0.65055</cdr:y>
    </cdr:to>
    <cdr:sp macro="" textlink="">
      <cdr:nvSpPr>
        <cdr:cNvPr id="30731" name="Line 11"/>
        <cdr:cNvSpPr>
          <a:spLocks xmlns:a="http://schemas.openxmlformats.org/drawingml/2006/main" noChangeShapeType="1"/>
        </cdr:cNvSpPr>
      </cdr:nvSpPr>
      <cdr:spPr bwMode="auto">
        <a:xfrm xmlns:a="http://schemas.openxmlformats.org/drawingml/2006/main" flipV="1">
          <a:off x="298464" y="1106622"/>
          <a:ext cx="2295085" cy="21020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2.xml><?xml version="1.0" encoding="utf-8"?>
<c:userShapes xmlns:c="http://schemas.openxmlformats.org/drawingml/2006/chart">
  <cdr:relSizeAnchor xmlns:cdr="http://schemas.openxmlformats.org/drawingml/2006/chartDrawing">
    <cdr:from>
      <cdr:x>0.10486</cdr:x>
      <cdr:y>0.1804</cdr:y>
    </cdr:from>
    <cdr:to>
      <cdr:x>0.73816</cdr:x>
      <cdr:y>0.30757</cdr:y>
    </cdr:to>
    <cdr:sp macro="" textlink="">
      <cdr:nvSpPr>
        <cdr:cNvPr id="36865" name="Line 1"/>
        <cdr:cNvSpPr>
          <a:spLocks xmlns:a="http://schemas.openxmlformats.org/drawingml/2006/main" noChangeShapeType="1"/>
        </cdr:cNvSpPr>
      </cdr:nvSpPr>
      <cdr:spPr bwMode="auto">
        <a:xfrm xmlns:a="http://schemas.openxmlformats.org/drawingml/2006/main" flipV="1">
          <a:off x="403675" y="365739"/>
          <a:ext cx="2418917" cy="25558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0.04757</cdr:x>
      <cdr:y>0.23827</cdr:y>
    </cdr:from>
    <cdr:to>
      <cdr:x>0.78009</cdr:x>
      <cdr:y>0.49405</cdr:y>
    </cdr:to>
    <cdr:sp macro="" textlink="">
      <cdr:nvSpPr>
        <cdr:cNvPr id="36866" name="Line 2"/>
        <cdr:cNvSpPr>
          <a:spLocks xmlns:a="http://schemas.openxmlformats.org/drawingml/2006/main" noChangeShapeType="1"/>
        </cdr:cNvSpPr>
      </cdr:nvSpPr>
      <cdr:spPr bwMode="auto">
        <a:xfrm xmlns:a="http://schemas.openxmlformats.org/drawingml/2006/main" flipV="1">
          <a:off x="184874" y="482047"/>
          <a:ext cx="2797861" cy="51405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0.04757</cdr:x>
      <cdr:y>0.309</cdr:y>
    </cdr:from>
    <cdr:to>
      <cdr:x>0.70086</cdr:x>
      <cdr:y>0.52929</cdr:y>
    </cdr:to>
    <cdr:sp macro="" textlink="">
      <cdr:nvSpPr>
        <cdr:cNvPr id="36867" name="Line 3"/>
        <cdr:cNvSpPr>
          <a:spLocks xmlns:a="http://schemas.openxmlformats.org/drawingml/2006/main" noChangeShapeType="1"/>
        </cdr:cNvSpPr>
      </cdr:nvSpPr>
      <cdr:spPr bwMode="auto">
        <a:xfrm xmlns:a="http://schemas.openxmlformats.org/drawingml/2006/main" flipV="1">
          <a:off x="184874" y="624200"/>
          <a:ext cx="2495264" cy="44273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0.02734</cdr:x>
      <cdr:y>0.23827</cdr:y>
    </cdr:from>
    <cdr:to>
      <cdr:x>0.73816</cdr:x>
      <cdr:y>0.35687</cdr:y>
    </cdr:to>
    <cdr:sp macro="" textlink="">
      <cdr:nvSpPr>
        <cdr:cNvPr id="36868" name="Line 4"/>
        <cdr:cNvSpPr>
          <a:spLocks xmlns:a="http://schemas.openxmlformats.org/drawingml/2006/main" noChangeShapeType="1"/>
        </cdr:cNvSpPr>
      </cdr:nvSpPr>
      <cdr:spPr bwMode="auto">
        <a:xfrm xmlns:a="http://schemas.openxmlformats.org/drawingml/2006/main" flipV="1">
          <a:off x="107595" y="482047"/>
          <a:ext cx="2714997" cy="23835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0.09242</cdr:x>
      <cdr:y>0.1542</cdr:y>
    </cdr:from>
    <cdr:to>
      <cdr:x>0.68794</cdr:x>
      <cdr:y>0.2778</cdr:y>
    </cdr:to>
    <cdr:sp macro="" textlink="">
      <cdr:nvSpPr>
        <cdr:cNvPr id="36869" name="Line 5"/>
        <cdr:cNvSpPr>
          <a:spLocks xmlns:a="http://schemas.openxmlformats.org/drawingml/2006/main" noChangeShapeType="1"/>
        </cdr:cNvSpPr>
      </cdr:nvSpPr>
      <cdr:spPr bwMode="auto">
        <a:xfrm xmlns:a="http://schemas.openxmlformats.org/drawingml/2006/main" flipV="1">
          <a:off x="356191" y="313090"/>
          <a:ext cx="2274601" cy="24841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0.06</cdr:x>
      <cdr:y>0.35544</cdr:y>
    </cdr:from>
    <cdr:to>
      <cdr:x>0.71305</cdr:x>
      <cdr:y>0.55549</cdr:y>
    </cdr:to>
    <cdr:sp macro="" textlink="">
      <cdr:nvSpPr>
        <cdr:cNvPr id="36870" name="Line 6"/>
        <cdr:cNvSpPr>
          <a:spLocks xmlns:a="http://schemas.openxmlformats.org/drawingml/2006/main" noChangeShapeType="1"/>
        </cdr:cNvSpPr>
      </cdr:nvSpPr>
      <cdr:spPr bwMode="auto">
        <a:xfrm xmlns:a="http://schemas.openxmlformats.org/drawingml/2006/main" flipV="1">
          <a:off x="232358" y="717533"/>
          <a:ext cx="2494334" cy="4020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3.xml><?xml version="1.0" encoding="utf-8"?>
<c:userShapes xmlns:c="http://schemas.openxmlformats.org/drawingml/2006/chart">
  <cdr:relSizeAnchor xmlns:cdr="http://schemas.openxmlformats.org/drawingml/2006/chartDrawing">
    <cdr:from>
      <cdr:x>0.12484</cdr:x>
      <cdr:y>0.40569</cdr:y>
    </cdr:from>
    <cdr:to>
      <cdr:x>0.66064</cdr:x>
      <cdr:y>0.56883</cdr:y>
    </cdr:to>
    <cdr:sp macro="" textlink="">
      <cdr:nvSpPr>
        <cdr:cNvPr id="39937" name="Line 1"/>
        <cdr:cNvSpPr>
          <a:spLocks xmlns:a="http://schemas.openxmlformats.org/drawingml/2006/main" noChangeShapeType="1"/>
        </cdr:cNvSpPr>
      </cdr:nvSpPr>
      <cdr:spPr bwMode="auto">
        <a:xfrm xmlns:a="http://schemas.openxmlformats.org/drawingml/2006/main" flipV="1">
          <a:off x="480023" y="818525"/>
          <a:ext cx="2046489" cy="327862"/>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0.09242</cdr:x>
      <cdr:y>0.48976</cdr:y>
    </cdr:from>
    <cdr:to>
      <cdr:x>0.68331</cdr:x>
      <cdr:y>0.62955</cdr:y>
    </cdr:to>
    <cdr:sp macro="" textlink="">
      <cdr:nvSpPr>
        <cdr:cNvPr id="39939" name="Line 3"/>
        <cdr:cNvSpPr>
          <a:spLocks xmlns:a="http://schemas.openxmlformats.org/drawingml/2006/main" noChangeShapeType="1"/>
        </cdr:cNvSpPr>
      </cdr:nvSpPr>
      <cdr:spPr bwMode="auto">
        <a:xfrm xmlns:a="http://schemas.openxmlformats.org/drawingml/2006/main" flipV="1">
          <a:off x="356191" y="987481"/>
          <a:ext cx="2256910" cy="280957"/>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0.09242</cdr:x>
      <cdr:y>0.45451</cdr:y>
    </cdr:from>
    <cdr:to>
      <cdr:x>0.66064</cdr:x>
      <cdr:y>0.60693</cdr:y>
    </cdr:to>
    <cdr:sp macro="" textlink="">
      <cdr:nvSpPr>
        <cdr:cNvPr id="39942" name="Line 6"/>
        <cdr:cNvSpPr>
          <a:spLocks xmlns:a="http://schemas.openxmlformats.org/drawingml/2006/main" noChangeShapeType="1"/>
        </cdr:cNvSpPr>
      </cdr:nvSpPr>
      <cdr:spPr bwMode="auto">
        <a:xfrm xmlns:a="http://schemas.openxmlformats.org/drawingml/2006/main" flipV="1">
          <a:off x="356191" y="916644"/>
          <a:ext cx="2170321" cy="30632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4.xml><?xml version="1.0" encoding="utf-8"?>
<xdr:wsDr xmlns:xdr="http://schemas.openxmlformats.org/drawingml/2006/spreadsheetDrawing" xmlns:a="http://schemas.openxmlformats.org/drawingml/2006/main">
  <xdr:twoCellAnchor>
    <xdr:from>
      <xdr:col>10</xdr:col>
      <xdr:colOff>371475</xdr:colOff>
      <xdr:row>54</xdr:row>
      <xdr:rowOff>66675</xdr:rowOff>
    </xdr:from>
    <xdr:to>
      <xdr:col>13</xdr:col>
      <xdr:colOff>0</xdr:colOff>
      <xdr:row>55</xdr:row>
      <xdr:rowOff>104775</xdr:rowOff>
    </xdr:to>
    <xdr:sp macro="" textlink="">
      <xdr:nvSpPr>
        <xdr:cNvPr id="41985" name="AutoShape 1"/>
        <xdr:cNvSpPr>
          <a:spLocks/>
        </xdr:cNvSpPr>
      </xdr:nvSpPr>
      <xdr:spPr bwMode="auto">
        <a:xfrm>
          <a:off x="5791200" y="7648575"/>
          <a:ext cx="1038225" cy="209550"/>
        </a:xfrm>
        <a:prstGeom prst="borderCallout2">
          <a:avLst>
            <a:gd name="adj1" fmla="val 54546"/>
            <a:gd name="adj2" fmla="val 107338"/>
            <a:gd name="adj3" fmla="val 54546"/>
            <a:gd name="adj4" fmla="val 127523"/>
            <a:gd name="adj5" fmla="val 177273"/>
            <a:gd name="adj6" fmla="val 15413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FF0000"/>
              </a:solidFill>
              <a:latin typeface="Arial"/>
              <a:cs typeface="Arial"/>
            </a:rPr>
            <a:t>valeurs par mois</a:t>
          </a:r>
        </a:p>
        <a:p>
          <a:pPr algn="l" rtl="0">
            <a:defRPr sz="1000"/>
          </a:pPr>
          <a:endParaRPr lang="fr-FR" sz="1000" b="0" i="0" u="none" strike="noStrike" baseline="0">
            <a:solidFill>
              <a:srgbClr val="FF0000"/>
            </a:solidFill>
            <a:latin typeface="Arial"/>
            <a:cs typeface="Arial"/>
          </a:endParaRPr>
        </a:p>
      </xdr:txBody>
    </xdr:sp>
    <xdr:clientData/>
  </xdr:twoCellAnchor>
  <xdr:twoCellAnchor>
    <xdr:from>
      <xdr:col>10</xdr:col>
      <xdr:colOff>142875</xdr:colOff>
      <xdr:row>110</xdr:row>
      <xdr:rowOff>66675</xdr:rowOff>
    </xdr:from>
    <xdr:to>
      <xdr:col>12</xdr:col>
      <xdr:colOff>219075</xdr:colOff>
      <xdr:row>112</xdr:row>
      <xdr:rowOff>104775</xdr:rowOff>
    </xdr:to>
    <xdr:sp macro="" textlink="">
      <xdr:nvSpPr>
        <xdr:cNvPr id="41986" name="AutoShape 2"/>
        <xdr:cNvSpPr>
          <a:spLocks/>
        </xdr:cNvSpPr>
      </xdr:nvSpPr>
      <xdr:spPr bwMode="auto">
        <a:xfrm>
          <a:off x="5562600" y="13020675"/>
          <a:ext cx="1152525" cy="371475"/>
        </a:xfrm>
        <a:prstGeom prst="borderCallout2">
          <a:avLst>
            <a:gd name="adj1" fmla="val 30769"/>
            <a:gd name="adj2" fmla="val 106611"/>
            <a:gd name="adj3" fmla="val 30769"/>
            <a:gd name="adj4" fmla="val 135537"/>
            <a:gd name="adj5" fmla="val 102565"/>
            <a:gd name="adj6" fmla="val 159505"/>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FF0000"/>
              </a:solidFill>
              <a:latin typeface="Arial"/>
              <a:cs typeface="Arial"/>
            </a:rPr>
            <a:t>calcul à partir </a:t>
          </a:r>
        </a:p>
        <a:p>
          <a:pPr algn="l" rtl="0">
            <a:defRPr sz="1000"/>
          </a:pPr>
          <a:r>
            <a:rPr lang="fr-FR" sz="1000" b="0" i="0" u="none" strike="noStrike" baseline="0">
              <a:solidFill>
                <a:srgbClr val="FF0000"/>
              </a:solidFill>
              <a:latin typeface="Arial"/>
              <a:cs typeface="Arial"/>
            </a:rPr>
            <a:t>de valeurs par mois</a:t>
          </a:r>
        </a:p>
        <a:p>
          <a:pPr algn="l" rtl="0">
            <a:defRPr sz="1000"/>
          </a:pPr>
          <a:endParaRPr lang="fr-FR" sz="1000" b="0" i="0" u="none" strike="noStrike" baseline="0">
            <a:solidFill>
              <a:srgbClr val="FF0000"/>
            </a:solidFill>
            <a:latin typeface="Arial"/>
            <a:cs typeface="Arial"/>
          </a:endParaRPr>
        </a:p>
      </xdr:txBody>
    </xdr:sp>
    <xdr:clientData/>
  </xdr:twoCellAnchor>
  <xdr:twoCellAnchor>
    <xdr:from>
      <xdr:col>31</xdr:col>
      <xdr:colOff>323850</xdr:colOff>
      <xdr:row>67</xdr:row>
      <xdr:rowOff>0</xdr:rowOff>
    </xdr:from>
    <xdr:to>
      <xdr:col>31</xdr:col>
      <xdr:colOff>323850</xdr:colOff>
      <xdr:row>114</xdr:row>
      <xdr:rowOff>114300</xdr:rowOff>
    </xdr:to>
    <xdr:sp macro="" textlink="">
      <xdr:nvSpPr>
        <xdr:cNvPr id="41989" name="Line 5"/>
        <xdr:cNvSpPr>
          <a:spLocks noChangeShapeType="1"/>
        </xdr:cNvSpPr>
      </xdr:nvSpPr>
      <xdr:spPr bwMode="auto">
        <a:xfrm>
          <a:off x="16506825" y="9620250"/>
          <a:ext cx="0" cy="4105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5.xml><?xml version="1.0" encoding="utf-8"?>
<xdr:wsDr xmlns:xdr="http://schemas.openxmlformats.org/drawingml/2006/spreadsheetDrawing" xmlns:a="http://schemas.openxmlformats.org/drawingml/2006/main">
  <xdr:oneCellAnchor>
    <xdr:from>
      <xdr:col>100</xdr:col>
      <xdr:colOff>330907</xdr:colOff>
      <xdr:row>34</xdr:row>
      <xdr:rowOff>123731</xdr:rowOff>
    </xdr:from>
    <xdr:ext cx="1843262" cy="400238"/>
    <xdr:sp macro="" textlink="">
      <xdr:nvSpPr>
        <xdr:cNvPr id="65541" name="Text Box 5"/>
        <xdr:cNvSpPr txBox="1">
          <a:spLocks noChangeArrowheads="1"/>
        </xdr:cNvSpPr>
      </xdr:nvSpPr>
      <xdr:spPr bwMode="auto">
        <a:xfrm>
          <a:off x="59366857" y="5629181"/>
          <a:ext cx="1843262" cy="400238"/>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27432" tIns="22860" rIns="27432" bIns="22860" anchor="ctr" upright="1">
          <a:spAutoFit/>
        </a:bodyPr>
        <a:lstStyle/>
        <a:p>
          <a:pPr algn="ctr" rtl="0">
            <a:lnSpc>
              <a:spcPts val="1300"/>
            </a:lnSpc>
            <a:defRPr sz="1000"/>
          </a:pPr>
          <a:r>
            <a:rPr lang="fr-FR" sz="1200" b="0" i="0" u="none" strike="noStrike" baseline="0">
              <a:solidFill>
                <a:srgbClr val="FF0000"/>
              </a:solidFill>
              <a:latin typeface="Arial"/>
              <a:cs typeface="Arial"/>
            </a:rPr>
            <a:t>En rouge:</a:t>
          </a:r>
        </a:p>
        <a:p>
          <a:pPr algn="ctr" rtl="0">
            <a:lnSpc>
              <a:spcPts val="1300"/>
            </a:lnSpc>
            <a:defRPr sz="1000"/>
          </a:pPr>
          <a:r>
            <a:rPr lang="fr-FR" sz="1200" b="0" i="0" u="none" strike="noStrike" baseline="0">
              <a:solidFill>
                <a:srgbClr val="FF0000"/>
              </a:solidFill>
              <a:latin typeface="Arial"/>
              <a:cs typeface="Arial"/>
            </a:rPr>
            <a:t>Kg par animal et par </a:t>
          </a:r>
          <a:r>
            <a:rPr lang="fr-FR" sz="1200" b="1" i="0" u="none" strike="noStrike" baseline="0">
              <a:solidFill>
                <a:srgbClr val="FF0000"/>
              </a:solidFill>
              <a:latin typeface="Arial"/>
              <a:cs typeface="Arial"/>
            </a:rPr>
            <a:t>mois</a:t>
          </a:r>
        </a:p>
      </xdr:txBody>
    </xdr:sp>
    <xdr:clientData/>
  </xdr:oneCellAnchor>
  <xdr:twoCellAnchor>
    <xdr:from>
      <xdr:col>99</xdr:col>
      <xdr:colOff>571500</xdr:colOff>
      <xdr:row>37</xdr:row>
      <xdr:rowOff>57150</xdr:rowOff>
    </xdr:from>
    <xdr:to>
      <xdr:col>102</xdr:col>
      <xdr:colOff>542925</xdr:colOff>
      <xdr:row>42</xdr:row>
      <xdr:rowOff>9525</xdr:rowOff>
    </xdr:to>
    <xdr:sp macro="" textlink="">
      <xdr:nvSpPr>
        <xdr:cNvPr id="65542" name="Freeform 6"/>
        <xdr:cNvSpPr>
          <a:spLocks/>
        </xdr:cNvSpPr>
      </xdr:nvSpPr>
      <xdr:spPr bwMode="auto">
        <a:xfrm>
          <a:off x="58940700" y="6048375"/>
          <a:ext cx="1381125" cy="762000"/>
        </a:xfrm>
        <a:custGeom>
          <a:avLst/>
          <a:gdLst>
            <a:gd name="T0" fmla="*/ 125 w 125"/>
            <a:gd name="T1" fmla="*/ 0 h 80"/>
            <a:gd name="T2" fmla="*/ 0 w 125"/>
            <a:gd name="T3" fmla="*/ 32 h 80"/>
            <a:gd name="T4" fmla="*/ 0 w 125"/>
            <a:gd name="T5" fmla="*/ 80 h 80"/>
          </a:gdLst>
          <a:ahLst/>
          <a:cxnLst>
            <a:cxn ang="0">
              <a:pos x="T0" y="T1"/>
            </a:cxn>
            <a:cxn ang="0">
              <a:pos x="T2" y="T3"/>
            </a:cxn>
            <a:cxn ang="0">
              <a:pos x="T4" y="T5"/>
            </a:cxn>
          </a:cxnLst>
          <a:rect l="0" t="0" r="r" b="b"/>
          <a:pathLst>
            <a:path w="125" h="80">
              <a:moveTo>
                <a:pt x="125" y="0"/>
              </a:moveTo>
              <a:lnTo>
                <a:pt x="0" y="32"/>
              </a:lnTo>
              <a:lnTo>
                <a:pt x="0" y="80"/>
              </a:lnTo>
            </a:path>
          </a:pathLst>
        </a:custGeom>
        <a:noFill/>
        <a:ln w="25400" cap="flat" cmpd="sng">
          <a:solidFill>
            <a:srgbClr xmlns:mc="http://schemas.openxmlformats.org/markup-compatibility/2006" xmlns:a14="http://schemas.microsoft.com/office/drawing/2010/main" val="FF0000" mc:Ignorable="a14" a14:legacySpreadsheetColorIndex="10"/>
          </a:solidFill>
          <a:prstDash val="solid"/>
          <a:round/>
          <a:headEnd type="none" w="med" len="med"/>
          <a:tailEnd type="oval" w="med" len="med"/>
        </a:ln>
        <a:extLst>
          <a:ext uri="{909E8E84-426E-40DD-AFC4-6F175D3DCCD1}">
            <a14:hiddenFill xmlns:a14="http://schemas.microsoft.com/office/drawing/2010/main">
              <a:solidFill>
                <a:srgbClr val="FFFFFF"/>
              </a:solidFill>
            </a14:hiddenFill>
          </a:ext>
        </a:extLst>
      </xdr:spPr>
    </xdr:sp>
    <xdr:clientData/>
  </xdr:twoCellAnchor>
  <xdr:twoCellAnchor>
    <xdr:from>
      <xdr:col>102</xdr:col>
      <xdr:colOff>523875</xdr:colOff>
      <xdr:row>37</xdr:row>
      <xdr:rowOff>66675</xdr:rowOff>
    </xdr:from>
    <xdr:to>
      <xdr:col>105</xdr:col>
      <xdr:colOff>571500</xdr:colOff>
      <xdr:row>42</xdr:row>
      <xdr:rowOff>19050</xdr:rowOff>
    </xdr:to>
    <xdr:sp macro="" textlink="">
      <xdr:nvSpPr>
        <xdr:cNvPr id="65543" name="Freeform 7"/>
        <xdr:cNvSpPr>
          <a:spLocks/>
        </xdr:cNvSpPr>
      </xdr:nvSpPr>
      <xdr:spPr bwMode="auto">
        <a:xfrm flipH="1">
          <a:off x="60302775" y="6057900"/>
          <a:ext cx="1457325" cy="762000"/>
        </a:xfrm>
        <a:custGeom>
          <a:avLst/>
          <a:gdLst>
            <a:gd name="T0" fmla="*/ 125 w 125"/>
            <a:gd name="T1" fmla="*/ 0 h 80"/>
            <a:gd name="T2" fmla="*/ 0 w 125"/>
            <a:gd name="T3" fmla="*/ 32 h 80"/>
            <a:gd name="T4" fmla="*/ 0 w 125"/>
            <a:gd name="T5" fmla="*/ 80 h 80"/>
          </a:gdLst>
          <a:ahLst/>
          <a:cxnLst>
            <a:cxn ang="0">
              <a:pos x="T0" y="T1"/>
            </a:cxn>
            <a:cxn ang="0">
              <a:pos x="T2" y="T3"/>
            </a:cxn>
            <a:cxn ang="0">
              <a:pos x="T4" y="T5"/>
            </a:cxn>
          </a:cxnLst>
          <a:rect l="0" t="0" r="r" b="b"/>
          <a:pathLst>
            <a:path w="125" h="80">
              <a:moveTo>
                <a:pt x="125" y="0"/>
              </a:moveTo>
              <a:lnTo>
                <a:pt x="0" y="32"/>
              </a:lnTo>
              <a:lnTo>
                <a:pt x="0" y="80"/>
              </a:lnTo>
            </a:path>
          </a:pathLst>
        </a:custGeom>
        <a:noFill/>
        <a:ln w="25400" cap="flat" cmpd="sng">
          <a:solidFill>
            <a:srgbClr xmlns:mc="http://schemas.openxmlformats.org/markup-compatibility/2006" xmlns:a14="http://schemas.microsoft.com/office/drawing/2010/main" val="FF0000" mc:Ignorable="a14" a14:legacySpreadsheetColorIndex="10"/>
          </a:solidFill>
          <a:prstDash val="solid"/>
          <a:round/>
          <a:headEnd type="none" w="med" len="med"/>
          <a:tailEnd type="oval" w="med" len="med"/>
        </a:ln>
        <a:extLst>
          <a:ext uri="{909E8E84-426E-40DD-AFC4-6F175D3DCCD1}">
            <a14:hiddenFill xmlns:a14="http://schemas.microsoft.com/office/drawing/2010/main">
              <a:solidFill>
                <a:srgbClr val="FFFFFF"/>
              </a:solidFill>
            </a14:hiddenFill>
          </a:ext>
        </a:extLst>
      </xdr:spPr>
    </xdr:sp>
    <xdr:clientData/>
  </xdr:twoCellAnchor>
  <xdr:twoCellAnchor>
    <xdr:from>
      <xdr:col>102</xdr:col>
      <xdr:colOff>523875</xdr:colOff>
      <xdr:row>37</xdr:row>
      <xdr:rowOff>76200</xdr:rowOff>
    </xdr:from>
    <xdr:to>
      <xdr:col>102</xdr:col>
      <xdr:colOff>561975</xdr:colOff>
      <xdr:row>41</xdr:row>
      <xdr:rowOff>152400</xdr:rowOff>
    </xdr:to>
    <xdr:sp macro="" textlink="">
      <xdr:nvSpPr>
        <xdr:cNvPr id="65544" name="Line 8"/>
        <xdr:cNvSpPr>
          <a:spLocks noChangeShapeType="1"/>
        </xdr:cNvSpPr>
      </xdr:nvSpPr>
      <xdr:spPr bwMode="auto">
        <a:xfrm>
          <a:off x="60302775" y="6067425"/>
          <a:ext cx="38100" cy="723900"/>
        </a:xfrm>
        <a:prstGeom prst="line">
          <a:avLst/>
        </a:prstGeom>
        <a:noFill/>
        <a:ln w="25400">
          <a:solidFill>
            <a:srgbClr xmlns:mc="http://schemas.openxmlformats.org/markup-compatibility/2006" xmlns:a14="http://schemas.microsoft.com/office/drawing/2010/main" val="FF0000" mc:Ignorable="a14" a14:legacySpreadsheetColorIndex="10"/>
          </a:solidFill>
          <a:round/>
          <a:headEnd/>
          <a:tailEnd type="oval" w="med" len="med"/>
        </a:ln>
        <a:extLst>
          <a:ext uri="{909E8E84-426E-40DD-AFC4-6F175D3DCCD1}">
            <a14:hiddenFill xmlns:a14="http://schemas.microsoft.com/office/drawing/2010/main">
              <a:noFill/>
            </a14:hiddenFill>
          </a:ext>
        </a:extLst>
      </xdr:spPr>
    </xdr:sp>
    <xdr:clientData/>
  </xdr:twoCellAnchor>
  <xdr:twoCellAnchor>
    <xdr:from>
      <xdr:col>42</xdr:col>
      <xdr:colOff>114300</xdr:colOff>
      <xdr:row>1</xdr:row>
      <xdr:rowOff>133350</xdr:rowOff>
    </xdr:from>
    <xdr:to>
      <xdr:col>43</xdr:col>
      <xdr:colOff>266700</xdr:colOff>
      <xdr:row>5</xdr:row>
      <xdr:rowOff>133350</xdr:rowOff>
    </xdr:to>
    <xdr:sp macro="" textlink="">
      <xdr:nvSpPr>
        <xdr:cNvPr id="65575" name="Freeform 39"/>
        <xdr:cNvSpPr>
          <a:spLocks/>
        </xdr:cNvSpPr>
      </xdr:nvSpPr>
      <xdr:spPr bwMode="auto">
        <a:xfrm>
          <a:off x="28889325" y="619125"/>
          <a:ext cx="2867025" cy="647700"/>
        </a:xfrm>
        <a:custGeom>
          <a:avLst/>
          <a:gdLst>
            <a:gd name="T0" fmla="*/ 0 w 211"/>
            <a:gd name="T1" fmla="*/ 0 h 68"/>
            <a:gd name="T2" fmla="*/ 2 w 211"/>
            <a:gd name="T3" fmla="*/ 55 h 68"/>
            <a:gd name="T4" fmla="*/ 207 w 211"/>
            <a:gd name="T5" fmla="*/ 55 h 68"/>
            <a:gd name="T6" fmla="*/ 211 w 211"/>
            <a:gd name="T7" fmla="*/ 68 h 68"/>
          </a:gdLst>
          <a:ahLst/>
          <a:cxnLst>
            <a:cxn ang="0">
              <a:pos x="T0" y="T1"/>
            </a:cxn>
            <a:cxn ang="0">
              <a:pos x="T2" y="T3"/>
            </a:cxn>
            <a:cxn ang="0">
              <a:pos x="T4" y="T5"/>
            </a:cxn>
            <a:cxn ang="0">
              <a:pos x="T6" y="T7"/>
            </a:cxn>
          </a:cxnLst>
          <a:rect l="0" t="0" r="r" b="b"/>
          <a:pathLst>
            <a:path w="211" h="68">
              <a:moveTo>
                <a:pt x="0" y="0"/>
              </a:moveTo>
              <a:lnTo>
                <a:pt x="2" y="55"/>
              </a:lnTo>
              <a:lnTo>
                <a:pt x="207" y="55"/>
              </a:lnTo>
              <a:lnTo>
                <a:pt x="211" y="68"/>
              </a:lnTo>
            </a:path>
          </a:pathLst>
        </a:custGeom>
        <a:noFill/>
        <a:ln w="9525">
          <a:solidFill>
            <a:srgbClr xmlns:mc="http://schemas.openxmlformats.org/markup-compatibility/2006" xmlns:a14="http://schemas.microsoft.com/office/drawing/2010/main" val="000000" mc:Ignorable="a14" a14:legacySpreadsheetColorIndex="64"/>
          </a:solidFill>
          <a:round/>
          <a:headEnd type="none"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304800</xdr:colOff>
      <xdr:row>130</xdr:row>
      <xdr:rowOff>0</xdr:rowOff>
    </xdr:from>
    <xdr:to>
      <xdr:col>43</xdr:col>
      <xdr:colOff>304800</xdr:colOff>
      <xdr:row>130</xdr:row>
      <xdr:rowOff>152400</xdr:rowOff>
    </xdr:to>
    <xdr:sp macro="" textlink="">
      <xdr:nvSpPr>
        <xdr:cNvPr id="65578" name="Line 42"/>
        <xdr:cNvSpPr>
          <a:spLocks noChangeShapeType="1"/>
        </xdr:cNvSpPr>
      </xdr:nvSpPr>
      <xdr:spPr bwMode="auto">
        <a:xfrm>
          <a:off x="31794450" y="18630900"/>
          <a:ext cx="0" cy="152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295275</xdr:colOff>
      <xdr:row>130</xdr:row>
      <xdr:rowOff>0</xdr:rowOff>
    </xdr:from>
    <xdr:to>
      <xdr:col>45</xdr:col>
      <xdr:colOff>295275</xdr:colOff>
      <xdr:row>130</xdr:row>
      <xdr:rowOff>152400</xdr:rowOff>
    </xdr:to>
    <xdr:sp macro="" textlink="">
      <xdr:nvSpPr>
        <xdr:cNvPr id="65579" name="Line 43"/>
        <xdr:cNvSpPr>
          <a:spLocks noChangeShapeType="1"/>
        </xdr:cNvSpPr>
      </xdr:nvSpPr>
      <xdr:spPr bwMode="auto">
        <a:xfrm>
          <a:off x="32966025" y="18630900"/>
          <a:ext cx="0" cy="152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44</xdr:col>
      <xdr:colOff>304800</xdr:colOff>
      <xdr:row>130</xdr:row>
      <xdr:rowOff>9525</xdr:rowOff>
    </xdr:from>
    <xdr:to>
      <xdr:col>45</xdr:col>
      <xdr:colOff>171450</xdr:colOff>
      <xdr:row>130</xdr:row>
      <xdr:rowOff>142875</xdr:rowOff>
    </xdr:to>
    <xdr:sp macro="" textlink="">
      <xdr:nvSpPr>
        <xdr:cNvPr id="65580" name="Line 44"/>
        <xdr:cNvSpPr>
          <a:spLocks noChangeShapeType="1"/>
        </xdr:cNvSpPr>
      </xdr:nvSpPr>
      <xdr:spPr bwMode="auto">
        <a:xfrm>
          <a:off x="32385000" y="18640425"/>
          <a:ext cx="457200" cy="133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371475</xdr:colOff>
      <xdr:row>130</xdr:row>
      <xdr:rowOff>0</xdr:rowOff>
    </xdr:from>
    <xdr:to>
      <xdr:col>46</xdr:col>
      <xdr:colOff>238125</xdr:colOff>
      <xdr:row>130</xdr:row>
      <xdr:rowOff>133350</xdr:rowOff>
    </xdr:to>
    <xdr:sp macro="" textlink="">
      <xdr:nvSpPr>
        <xdr:cNvPr id="65581" name="Line 45"/>
        <xdr:cNvSpPr>
          <a:spLocks noChangeShapeType="1"/>
        </xdr:cNvSpPr>
      </xdr:nvSpPr>
      <xdr:spPr bwMode="auto">
        <a:xfrm flipH="1">
          <a:off x="33042225" y="18630900"/>
          <a:ext cx="457200" cy="133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xdr:col>
      <xdr:colOff>0</xdr:colOff>
      <xdr:row>6</xdr:row>
      <xdr:rowOff>66675</xdr:rowOff>
    </xdr:to>
    <xdr:sp macro="" textlink="">
      <xdr:nvSpPr>
        <xdr:cNvPr id="65589" name="Text Box 53"/>
        <xdr:cNvSpPr txBox="1">
          <a:spLocks noChangeArrowheads="1"/>
        </xdr:cNvSpPr>
      </xdr:nvSpPr>
      <xdr:spPr bwMode="auto">
        <a:xfrm>
          <a:off x="0" y="0"/>
          <a:ext cx="1152525" cy="1038225"/>
        </a:xfrm>
        <a:prstGeom prst="rect">
          <a:avLst/>
        </a:prstGeom>
        <a:noFill/>
        <a:ln>
          <a:noFill/>
        </a:ln>
        <a:extLst>
          <a:ext uri="{909E8E84-426E-40DD-AFC4-6F175D3DCCD1}">
            <a14:hiddenFill xmlns:a14="http://schemas.microsoft.com/office/drawing/2010/main">
              <a:solidFill>
                <a:srgbClr xmlns:mc="http://schemas.openxmlformats.org/markup-compatibility/2006" val="CC99FF" mc:Ignorable="a14" a14:legacySpreadsheetColorIndex="46"/>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36576" bIns="0" anchor="t" upright="1"/>
        <a:lstStyle/>
        <a:p>
          <a:pPr algn="ctr" rtl="0">
            <a:lnSpc>
              <a:spcPts val="1300"/>
            </a:lnSpc>
            <a:defRPr sz="1000"/>
          </a:pPr>
          <a:r>
            <a:rPr lang="fr-FR" sz="1200" b="1" i="0" u="none" strike="noStrike" baseline="0">
              <a:solidFill>
                <a:srgbClr val="FF0000"/>
              </a:solidFill>
              <a:latin typeface="Arial"/>
              <a:cs typeface="Arial"/>
            </a:rPr>
            <a:t>Cliquer sur le nom de la feuille dont  les paramètres sont à modifier</a:t>
          </a:r>
        </a:p>
        <a:p>
          <a:pPr algn="ctr" rtl="0">
            <a:defRPr sz="1000"/>
          </a:pPr>
          <a:endParaRPr lang="fr-FR" sz="1200" b="1" i="0" u="none" strike="noStrike" baseline="0">
            <a:solidFill>
              <a:srgbClr val="FF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228600</xdr:colOff>
          <xdr:row>3</xdr:row>
          <xdr:rowOff>47625</xdr:rowOff>
        </xdr:from>
        <xdr:to>
          <xdr:col>17</xdr:col>
          <xdr:colOff>95250</xdr:colOff>
          <xdr:row>7</xdr:row>
          <xdr:rowOff>47625</xdr:rowOff>
        </xdr:to>
        <xdr:sp macro="" textlink="">
          <xdr:nvSpPr>
            <xdr:cNvPr id="92161" name="Button 1" hidden="1">
              <a:extLst>
                <a:ext uri="{63B3BB69-23CF-44E3-9099-C40C66FF867C}">
                  <a14:compatExt spid="_x0000_s9216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76200</xdr:colOff>
          <xdr:row>0</xdr:row>
          <xdr:rowOff>57150</xdr:rowOff>
        </xdr:from>
        <xdr:to>
          <xdr:col>16</xdr:col>
          <xdr:colOff>133350</xdr:colOff>
          <xdr:row>3</xdr:row>
          <xdr:rowOff>57150</xdr:rowOff>
        </xdr:to>
        <xdr:sp macro="" textlink="">
          <xdr:nvSpPr>
            <xdr:cNvPr id="93185" name="Button 1" hidden="1">
              <a:extLst>
                <a:ext uri="{63B3BB69-23CF-44E3-9099-C40C66FF867C}">
                  <a14:compatExt spid="_x0000_s9318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209550</xdr:colOff>
          <xdr:row>0</xdr:row>
          <xdr:rowOff>76200</xdr:rowOff>
        </xdr:from>
        <xdr:to>
          <xdr:col>12</xdr:col>
          <xdr:colOff>142875</xdr:colOff>
          <xdr:row>3</xdr:row>
          <xdr:rowOff>152400</xdr:rowOff>
        </xdr:to>
        <xdr:sp macro="" textlink="">
          <xdr:nvSpPr>
            <xdr:cNvPr id="94209" name="Button 1" hidden="1">
              <a:extLst>
                <a:ext uri="{63B3BB69-23CF-44E3-9099-C40C66FF867C}">
                  <a14:compatExt spid="_x0000_s94209"/>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008000"/>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238125</xdr:colOff>
          <xdr:row>30</xdr:row>
          <xdr:rowOff>47625</xdr:rowOff>
        </xdr:from>
        <xdr:to>
          <xdr:col>10</xdr:col>
          <xdr:colOff>276225</xdr:colOff>
          <xdr:row>35</xdr:row>
          <xdr:rowOff>9525</xdr:rowOff>
        </xdr:to>
        <xdr:sp macro="" textlink="">
          <xdr:nvSpPr>
            <xdr:cNvPr id="94213" name="Button 5" hidden="1">
              <a:extLst>
                <a:ext uri="{63B3BB69-23CF-44E3-9099-C40C66FF867C}">
                  <a14:compatExt spid="_x0000_s94213"/>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400" b="1" i="0" u="none" strike="noStrike" baseline="0">
                  <a:solidFill>
                    <a:srgbClr val="0000FF"/>
                  </a:solidFill>
                  <a:latin typeface="Arial"/>
                  <a:cs typeface="Arial"/>
                </a:rPr>
                <a:t>Effacer les entrées de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40</xdr:row>
          <xdr:rowOff>0</xdr:rowOff>
        </xdr:from>
        <xdr:to>
          <xdr:col>2</xdr:col>
          <xdr:colOff>3686175</xdr:colOff>
          <xdr:row>41</xdr:row>
          <xdr:rowOff>0</xdr:rowOff>
        </xdr:to>
        <xdr:sp macro="" textlink="">
          <xdr:nvSpPr>
            <xdr:cNvPr id="94236" name="Option Button 28" hidden="1">
              <a:extLst>
                <a:ext uri="{63B3BB69-23CF-44E3-9099-C40C66FF867C}">
                  <a14:compatExt spid="_x0000_s94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Charolais, Salers,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41</xdr:row>
          <xdr:rowOff>0</xdr:rowOff>
        </xdr:from>
        <xdr:to>
          <xdr:col>2</xdr:col>
          <xdr:colOff>3686175</xdr:colOff>
          <xdr:row>42</xdr:row>
          <xdr:rowOff>0</xdr:rowOff>
        </xdr:to>
        <xdr:sp macro="" textlink="">
          <xdr:nvSpPr>
            <xdr:cNvPr id="94237" name="Option Button 29" hidden="1">
              <a:extLst>
                <a:ext uri="{63B3BB69-23CF-44E3-9099-C40C66FF867C}">
                  <a14:compatExt spid="_x0000_s94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Limousin, Blonde,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42</xdr:row>
          <xdr:rowOff>0</xdr:rowOff>
        </xdr:from>
        <xdr:to>
          <xdr:col>2</xdr:col>
          <xdr:colOff>3686175</xdr:colOff>
          <xdr:row>43</xdr:row>
          <xdr:rowOff>0</xdr:rowOff>
        </xdr:to>
        <xdr:sp macro="" textlink="">
          <xdr:nvSpPr>
            <xdr:cNvPr id="94238" name="Option Button 30" hidden="1">
              <a:extLst>
                <a:ext uri="{63B3BB69-23CF-44E3-9099-C40C66FF867C}">
                  <a14:compatExt spid="_x0000_s94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Laitières, Précoces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43</xdr:row>
          <xdr:rowOff>0</xdr:rowOff>
        </xdr:from>
        <xdr:to>
          <xdr:col>2</xdr:col>
          <xdr:colOff>3686175</xdr:colOff>
          <xdr:row>44</xdr:row>
          <xdr:rowOff>0</xdr:rowOff>
        </xdr:to>
        <xdr:sp macro="" textlink="">
          <xdr:nvSpPr>
            <xdr:cNvPr id="94239" name="Option Button 31" hidden="1">
              <a:extLst>
                <a:ext uri="{63B3BB69-23CF-44E3-9099-C40C66FF867C}">
                  <a14:compatExt spid="_x0000_s94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Croisées et Mixtes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2457450</xdr:colOff>
          <xdr:row>39</xdr:row>
          <xdr:rowOff>0</xdr:rowOff>
        </xdr:from>
        <xdr:to>
          <xdr:col>3</xdr:col>
          <xdr:colOff>0</xdr:colOff>
          <xdr:row>45</xdr:row>
          <xdr:rowOff>19050</xdr:rowOff>
        </xdr:to>
        <xdr:sp macro="" textlink="">
          <xdr:nvSpPr>
            <xdr:cNvPr id="94240" name="Group Box 32" hidden="1">
              <a:extLst>
                <a:ext uri="{63B3BB69-23CF-44E3-9099-C40C66FF867C}">
                  <a14:compatExt spid="_x0000_s942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46</xdr:row>
          <xdr:rowOff>0</xdr:rowOff>
        </xdr:from>
        <xdr:to>
          <xdr:col>2</xdr:col>
          <xdr:colOff>4133850</xdr:colOff>
          <xdr:row>47</xdr:row>
          <xdr:rowOff>0</xdr:rowOff>
        </xdr:to>
        <xdr:sp macro="" textlink="">
          <xdr:nvSpPr>
            <xdr:cNvPr id="94244" name="Option Button 36" hidden="1">
              <a:extLst>
                <a:ext uri="{63B3BB69-23CF-44E3-9099-C40C66FF867C}">
                  <a14:compatExt spid="_x0000_s94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Charolais, Rouge des Prés,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47</xdr:row>
          <xdr:rowOff>0</xdr:rowOff>
        </xdr:from>
        <xdr:to>
          <xdr:col>2</xdr:col>
          <xdr:colOff>4133850</xdr:colOff>
          <xdr:row>48</xdr:row>
          <xdr:rowOff>0</xdr:rowOff>
        </xdr:to>
        <xdr:sp macro="" textlink="">
          <xdr:nvSpPr>
            <xdr:cNvPr id="94245" name="Option Button 37" hidden="1">
              <a:extLst>
                <a:ext uri="{63B3BB69-23CF-44E3-9099-C40C66FF867C}">
                  <a14:compatExt spid="_x0000_s94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Autres Bœufs + Génisses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48</xdr:row>
          <xdr:rowOff>0</xdr:rowOff>
        </xdr:from>
        <xdr:to>
          <xdr:col>2</xdr:col>
          <xdr:colOff>3686175</xdr:colOff>
          <xdr:row>49</xdr:row>
          <xdr:rowOff>0</xdr:rowOff>
        </xdr:to>
        <xdr:sp macro="" textlink="">
          <xdr:nvSpPr>
            <xdr:cNvPr id="94246" name="Option Button 38" hidden="1">
              <a:extLst>
                <a:ext uri="{63B3BB69-23CF-44E3-9099-C40C66FF867C}">
                  <a14:compatExt spid="_x0000_s94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Croisées et Mixtes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2457450</xdr:colOff>
          <xdr:row>45</xdr:row>
          <xdr:rowOff>0</xdr:rowOff>
        </xdr:from>
        <xdr:to>
          <xdr:col>3</xdr:col>
          <xdr:colOff>0</xdr:colOff>
          <xdr:row>50</xdr:row>
          <xdr:rowOff>19050</xdr:rowOff>
        </xdr:to>
        <xdr:sp macro="" textlink="">
          <xdr:nvSpPr>
            <xdr:cNvPr id="94248" name="Group Box 40" hidden="1">
              <a:extLst>
                <a:ext uri="{63B3BB69-23CF-44E3-9099-C40C66FF867C}">
                  <a14:compatExt spid="_x0000_s9424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466725</xdr:colOff>
          <xdr:row>16</xdr:row>
          <xdr:rowOff>0</xdr:rowOff>
        </xdr:from>
        <xdr:to>
          <xdr:col>2</xdr:col>
          <xdr:colOff>790575</xdr:colOff>
          <xdr:row>17</xdr:row>
          <xdr:rowOff>9525</xdr:rowOff>
        </xdr:to>
        <xdr:sp macro="" textlink="">
          <xdr:nvSpPr>
            <xdr:cNvPr id="66561" name="Option Button 1" hidden="1">
              <a:extLst>
                <a:ext uri="{63B3BB69-23CF-44E3-9099-C40C66FF867C}">
                  <a14:compatExt spid="_x0000_s66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16</xdr:row>
          <xdr:rowOff>190500</xdr:rowOff>
        </xdr:from>
        <xdr:to>
          <xdr:col>2</xdr:col>
          <xdr:colOff>790575</xdr:colOff>
          <xdr:row>17</xdr:row>
          <xdr:rowOff>200025</xdr:rowOff>
        </xdr:to>
        <xdr:sp macro="" textlink="">
          <xdr:nvSpPr>
            <xdr:cNvPr id="66562" name="Option Button 2" hidden="1">
              <a:extLst>
                <a:ext uri="{63B3BB69-23CF-44E3-9099-C40C66FF867C}">
                  <a14:compatExt spid="_x0000_s66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17</xdr:row>
          <xdr:rowOff>190500</xdr:rowOff>
        </xdr:from>
        <xdr:to>
          <xdr:col>2</xdr:col>
          <xdr:colOff>790575</xdr:colOff>
          <xdr:row>18</xdr:row>
          <xdr:rowOff>200025</xdr:rowOff>
        </xdr:to>
        <xdr:sp macro="" textlink="">
          <xdr:nvSpPr>
            <xdr:cNvPr id="66563" name="Option Button 3" hidden="1">
              <a:extLst>
                <a:ext uri="{63B3BB69-23CF-44E3-9099-C40C66FF867C}">
                  <a14:compatExt spid="_x0000_s66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xdr:colOff>
          <xdr:row>15</xdr:row>
          <xdr:rowOff>180975</xdr:rowOff>
        </xdr:from>
        <xdr:to>
          <xdr:col>14</xdr:col>
          <xdr:colOff>0</xdr:colOff>
          <xdr:row>19</xdr:row>
          <xdr:rowOff>95250</xdr:rowOff>
        </xdr:to>
        <xdr:sp macro="" textlink="">
          <xdr:nvSpPr>
            <xdr:cNvPr id="66564" name="Group Box 4" hidden="1">
              <a:extLst>
                <a:ext uri="{63B3BB69-23CF-44E3-9099-C40C66FF867C}">
                  <a14:compatExt spid="_x0000_s6656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97</xdr:row>
          <xdr:rowOff>0</xdr:rowOff>
        </xdr:from>
        <xdr:to>
          <xdr:col>14</xdr:col>
          <xdr:colOff>0</xdr:colOff>
          <xdr:row>100</xdr:row>
          <xdr:rowOff>0</xdr:rowOff>
        </xdr:to>
        <xdr:sp macro="" textlink="">
          <xdr:nvSpPr>
            <xdr:cNvPr id="66584" name="Group Box 24" hidden="1">
              <a:extLst>
                <a:ext uri="{63B3BB69-23CF-44E3-9099-C40C66FF867C}">
                  <a14:compatExt spid="_x0000_s665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47625</xdr:colOff>
          <xdr:row>0</xdr:row>
          <xdr:rowOff>9525</xdr:rowOff>
        </xdr:from>
        <xdr:to>
          <xdr:col>13</xdr:col>
          <xdr:colOff>619125</xdr:colOff>
          <xdr:row>0</xdr:row>
          <xdr:rowOff>295275</xdr:rowOff>
        </xdr:to>
        <xdr:sp macro="" textlink="">
          <xdr:nvSpPr>
            <xdr:cNvPr id="66585" name="Button 25" hidden="1">
              <a:extLst>
                <a:ext uri="{63B3BB69-23CF-44E3-9099-C40C66FF867C}">
                  <a14:compatExt spid="_x0000_s66585"/>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209550</xdr:colOff>
          <xdr:row>1</xdr:row>
          <xdr:rowOff>28575</xdr:rowOff>
        </xdr:from>
        <xdr:to>
          <xdr:col>16</xdr:col>
          <xdr:colOff>95250</xdr:colOff>
          <xdr:row>4</xdr:row>
          <xdr:rowOff>76200</xdr:rowOff>
        </xdr:to>
        <xdr:sp macro="" textlink="">
          <xdr:nvSpPr>
            <xdr:cNvPr id="66586" name="Button 26" hidden="1">
              <a:extLst>
                <a:ext uri="{63B3BB69-23CF-44E3-9099-C40C66FF867C}">
                  <a14:compatExt spid="_x0000_s66586"/>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590550</xdr:colOff>
          <xdr:row>48</xdr:row>
          <xdr:rowOff>142875</xdr:rowOff>
        </xdr:from>
        <xdr:to>
          <xdr:col>7</xdr:col>
          <xdr:colOff>161925</xdr:colOff>
          <xdr:row>49</xdr:row>
          <xdr:rowOff>142875</xdr:rowOff>
        </xdr:to>
        <xdr:sp macro="" textlink="">
          <xdr:nvSpPr>
            <xdr:cNvPr id="66671" name="Option Button 111" hidden="1">
              <a:extLst>
                <a:ext uri="{63B3BB69-23CF-44E3-9099-C40C66FF867C}">
                  <a14:compatExt spid="_x0000_s66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cultures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48</xdr:row>
          <xdr:rowOff>142875</xdr:rowOff>
        </xdr:from>
        <xdr:to>
          <xdr:col>8</xdr:col>
          <xdr:colOff>400050</xdr:colOff>
          <xdr:row>49</xdr:row>
          <xdr:rowOff>142875</xdr:rowOff>
        </xdr:to>
        <xdr:sp macro="" textlink="">
          <xdr:nvSpPr>
            <xdr:cNvPr id="66675" name="Option Button 115" hidden="1">
              <a:extLst>
                <a:ext uri="{63B3BB69-23CF-44E3-9099-C40C66FF867C}">
                  <a14:compatExt spid="_x0000_s66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prairies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14</xdr:col>
          <xdr:colOff>0</xdr:colOff>
          <xdr:row>51</xdr:row>
          <xdr:rowOff>0</xdr:rowOff>
        </xdr:to>
        <xdr:sp macro="" textlink="">
          <xdr:nvSpPr>
            <xdr:cNvPr id="66676" name="Group Box 116" hidden="1">
              <a:extLst>
                <a:ext uri="{63B3BB69-23CF-44E3-9099-C40C66FF867C}">
                  <a14:compatExt spid="_x0000_s666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97</xdr:row>
          <xdr:rowOff>114300</xdr:rowOff>
        </xdr:from>
        <xdr:to>
          <xdr:col>7</xdr:col>
          <xdr:colOff>0</xdr:colOff>
          <xdr:row>99</xdr:row>
          <xdr:rowOff>9525</xdr:rowOff>
        </xdr:to>
        <xdr:sp macro="" textlink="">
          <xdr:nvSpPr>
            <xdr:cNvPr id="66677" name="Option Button 117" hidden="1">
              <a:extLst>
                <a:ext uri="{63B3BB69-23CF-44E3-9099-C40C66FF867C}">
                  <a14:compatExt spid="_x0000_s66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cultures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97</xdr:row>
          <xdr:rowOff>104775</xdr:rowOff>
        </xdr:from>
        <xdr:to>
          <xdr:col>8</xdr:col>
          <xdr:colOff>342900</xdr:colOff>
          <xdr:row>99</xdr:row>
          <xdr:rowOff>9525</xdr:rowOff>
        </xdr:to>
        <xdr:sp macro="" textlink="">
          <xdr:nvSpPr>
            <xdr:cNvPr id="66678" name="Option Button 118" hidden="1">
              <a:extLst>
                <a:ext uri="{63B3BB69-23CF-44E3-9099-C40C66FF867C}">
                  <a14:compatExt spid="_x0000_s66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prairies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190500</xdr:colOff>
          <xdr:row>68</xdr:row>
          <xdr:rowOff>0</xdr:rowOff>
        </xdr:from>
        <xdr:to>
          <xdr:col>8</xdr:col>
          <xdr:colOff>657225</xdr:colOff>
          <xdr:row>69</xdr:row>
          <xdr:rowOff>0</xdr:rowOff>
        </xdr:to>
        <xdr:sp macro="" textlink="">
          <xdr:nvSpPr>
            <xdr:cNvPr id="66680" name="Spinner 120" hidden="1">
              <a:extLst>
                <a:ext uri="{63B3BB69-23CF-44E3-9099-C40C66FF867C}">
                  <a14:compatExt spid="_x0000_s6668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5</xdr:col>
      <xdr:colOff>1000125</xdr:colOff>
      <xdr:row>68</xdr:row>
      <xdr:rowOff>228600</xdr:rowOff>
    </xdr:from>
    <xdr:to>
      <xdr:col>7</xdr:col>
      <xdr:colOff>742950</xdr:colOff>
      <xdr:row>68</xdr:row>
      <xdr:rowOff>352426</xdr:rowOff>
    </xdr:to>
    <xdr:cxnSp macro="">
      <xdr:nvCxnSpPr>
        <xdr:cNvPr id="5" name="Connecteur droit avec flèche 4"/>
        <xdr:cNvCxnSpPr/>
      </xdr:nvCxnSpPr>
      <xdr:spPr>
        <a:xfrm flipV="1">
          <a:off x="3419475" y="11391900"/>
          <a:ext cx="1152525" cy="123826"/>
        </a:xfrm>
        <a:prstGeom prst="straightConnector1">
          <a:avLst/>
        </a:prstGeom>
        <a:ln w="19050">
          <a:solidFill>
            <a:schemeClr val="accent6">
              <a:lumMod val="75000"/>
            </a:schemeClr>
          </a:solidFill>
          <a:tailEnd type="arrow"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69</xdr:row>
      <xdr:rowOff>142875</xdr:rowOff>
    </xdr:from>
    <xdr:to>
      <xdr:col>8</xdr:col>
      <xdr:colOff>733425</xdr:colOff>
      <xdr:row>69</xdr:row>
      <xdr:rowOff>171450</xdr:rowOff>
    </xdr:to>
    <xdr:cxnSp macro="">
      <xdr:nvCxnSpPr>
        <xdr:cNvPr id="28" name="Connecteur droit avec flèche 27"/>
        <xdr:cNvCxnSpPr/>
      </xdr:nvCxnSpPr>
      <xdr:spPr>
        <a:xfrm>
          <a:off x="3362325" y="11687175"/>
          <a:ext cx="1962150" cy="28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1000125</xdr:colOff>
      <xdr:row>115</xdr:row>
      <xdr:rowOff>228600</xdr:rowOff>
    </xdr:from>
    <xdr:to>
      <xdr:col>7</xdr:col>
      <xdr:colOff>742950</xdr:colOff>
      <xdr:row>115</xdr:row>
      <xdr:rowOff>352426</xdr:rowOff>
    </xdr:to>
    <xdr:cxnSp macro="">
      <xdr:nvCxnSpPr>
        <xdr:cNvPr id="33" name="Connecteur droit avec flèche 32"/>
        <xdr:cNvCxnSpPr/>
      </xdr:nvCxnSpPr>
      <xdr:spPr>
        <a:xfrm flipV="1">
          <a:off x="3419475" y="19973925"/>
          <a:ext cx="1152525" cy="123826"/>
        </a:xfrm>
        <a:prstGeom prst="straightConnector1">
          <a:avLst/>
        </a:prstGeom>
        <a:ln w="19050">
          <a:solidFill>
            <a:schemeClr val="accent6">
              <a:lumMod val="75000"/>
            </a:schemeClr>
          </a:solidFill>
          <a:tailEnd type="arrow"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116</xdr:row>
      <xdr:rowOff>142875</xdr:rowOff>
    </xdr:from>
    <xdr:to>
      <xdr:col>8</xdr:col>
      <xdr:colOff>733425</xdr:colOff>
      <xdr:row>116</xdr:row>
      <xdr:rowOff>171450</xdr:rowOff>
    </xdr:to>
    <xdr:cxnSp macro="">
      <xdr:nvCxnSpPr>
        <xdr:cNvPr id="34" name="Connecteur droit avec flèche 33"/>
        <xdr:cNvCxnSpPr/>
      </xdr:nvCxnSpPr>
      <xdr:spPr>
        <a:xfrm>
          <a:off x="3362325" y="20269200"/>
          <a:ext cx="1962150" cy="28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xdr:from>
          <xdr:col>8</xdr:col>
          <xdr:colOff>190500</xdr:colOff>
          <xdr:row>115</xdr:row>
          <xdr:rowOff>0</xdr:rowOff>
        </xdr:from>
        <xdr:to>
          <xdr:col>8</xdr:col>
          <xdr:colOff>657225</xdr:colOff>
          <xdr:row>116</xdr:row>
          <xdr:rowOff>0</xdr:rowOff>
        </xdr:to>
        <xdr:sp macro="" textlink="">
          <xdr:nvSpPr>
            <xdr:cNvPr id="66684" name="Spinner 124" hidden="1">
              <a:extLst>
                <a:ext uri="{63B3BB69-23CF-44E3-9099-C40C66FF867C}">
                  <a14:compatExt spid="_x0000_s66684"/>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942975</xdr:colOff>
          <xdr:row>0</xdr:row>
          <xdr:rowOff>0</xdr:rowOff>
        </xdr:from>
        <xdr:to>
          <xdr:col>12</xdr:col>
          <xdr:colOff>457200</xdr:colOff>
          <xdr:row>2</xdr:row>
          <xdr:rowOff>19050</xdr:rowOff>
        </xdr:to>
        <xdr:sp macro="" textlink="">
          <xdr:nvSpPr>
            <xdr:cNvPr id="67589" name="Button 5" hidden="1">
              <a:extLst>
                <a:ext uri="{63B3BB69-23CF-44E3-9099-C40C66FF867C}">
                  <a14:compatExt spid="_x0000_s67589"/>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228600</xdr:colOff>
          <xdr:row>2</xdr:row>
          <xdr:rowOff>38100</xdr:rowOff>
        </xdr:from>
        <xdr:to>
          <xdr:col>8</xdr:col>
          <xdr:colOff>0</xdr:colOff>
          <xdr:row>4</xdr:row>
          <xdr:rowOff>123825</xdr:rowOff>
        </xdr:to>
        <xdr:sp macro="" textlink="">
          <xdr:nvSpPr>
            <xdr:cNvPr id="67590" name="Button 6" hidden="1">
              <a:extLst>
                <a:ext uri="{63B3BB69-23CF-44E3-9099-C40C66FF867C}">
                  <a14:compatExt spid="_x0000_s6759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xdr:twoCellAnchor>
    <xdr:from>
      <xdr:col>8</xdr:col>
      <xdr:colOff>47625</xdr:colOff>
      <xdr:row>7</xdr:row>
      <xdr:rowOff>28575</xdr:rowOff>
    </xdr:from>
    <xdr:to>
      <xdr:col>9</xdr:col>
      <xdr:colOff>133350</xdr:colOff>
      <xdr:row>39</xdr:row>
      <xdr:rowOff>152400</xdr:rowOff>
    </xdr:to>
    <xdr:grpSp>
      <xdr:nvGrpSpPr>
        <xdr:cNvPr id="4" name="Groupe 3"/>
        <xdr:cNvGrpSpPr/>
      </xdr:nvGrpSpPr>
      <xdr:grpSpPr>
        <a:xfrm>
          <a:off x="5451475" y="1406525"/>
          <a:ext cx="295275" cy="5375275"/>
          <a:chOff x="5238750" y="1409700"/>
          <a:chExt cx="285750" cy="5400675"/>
        </a:xfrm>
      </xdr:grpSpPr>
      <xdr:sp macro="" textlink="">
        <xdr:nvSpPr>
          <xdr:cNvPr id="5" name="Accolade fermante 4"/>
          <xdr:cNvSpPr/>
        </xdr:nvSpPr>
        <xdr:spPr>
          <a:xfrm>
            <a:off x="5238750" y="1409700"/>
            <a:ext cx="180975" cy="952500"/>
          </a:xfrm>
          <a:prstGeom prst="rightBrace">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sp macro="" textlink="">
        <xdr:nvSpPr>
          <xdr:cNvPr id="6" name="Accolade fermante 5"/>
          <xdr:cNvSpPr/>
        </xdr:nvSpPr>
        <xdr:spPr>
          <a:xfrm>
            <a:off x="5238750" y="2886075"/>
            <a:ext cx="180975" cy="952500"/>
          </a:xfrm>
          <a:prstGeom prst="rightBrace">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sp macro="" textlink="">
        <xdr:nvSpPr>
          <xdr:cNvPr id="7" name="Accolade fermante 6"/>
          <xdr:cNvSpPr/>
        </xdr:nvSpPr>
        <xdr:spPr>
          <a:xfrm>
            <a:off x="5238750" y="5362575"/>
            <a:ext cx="209550" cy="1447800"/>
          </a:xfrm>
          <a:prstGeom prst="rightBrace">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xnSp macro="">
        <xdr:nvCxnSpPr>
          <xdr:cNvPr id="8" name="Connecteur droit avec flèche 7"/>
          <xdr:cNvCxnSpPr>
            <a:endCxn id="5" idx="1"/>
          </xdr:cNvCxnSpPr>
        </xdr:nvCxnSpPr>
        <xdr:spPr>
          <a:xfrm flipH="1" flipV="1">
            <a:off x="5419725" y="1885950"/>
            <a:ext cx="85725" cy="171450"/>
          </a:xfrm>
          <a:prstGeom prst="straightConnector1">
            <a:avLst/>
          </a:prstGeom>
          <a:ln w="1905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avec flèche 8"/>
          <xdr:cNvCxnSpPr/>
        </xdr:nvCxnSpPr>
        <xdr:spPr>
          <a:xfrm flipH="1" flipV="1">
            <a:off x="5438775" y="3352800"/>
            <a:ext cx="85725" cy="171450"/>
          </a:xfrm>
          <a:prstGeom prst="straightConnector1">
            <a:avLst/>
          </a:prstGeom>
          <a:ln w="1905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22225</xdr:colOff>
      <xdr:row>22</xdr:row>
      <xdr:rowOff>38100</xdr:rowOff>
    </xdr:from>
    <xdr:to>
      <xdr:col>13</xdr:col>
      <xdr:colOff>679450</xdr:colOff>
      <xdr:row>29</xdr:row>
      <xdr:rowOff>19050</xdr:rowOff>
    </xdr:to>
    <xdr:sp macro="" textlink="">
      <xdr:nvSpPr>
        <xdr:cNvPr id="2" name="Rectangle 1"/>
        <xdr:cNvSpPr/>
      </xdr:nvSpPr>
      <xdr:spPr>
        <a:xfrm>
          <a:off x="5384800" y="3886200"/>
          <a:ext cx="4962525" cy="1152525"/>
        </a:xfrm>
        <a:prstGeom prst="rect">
          <a:avLst/>
        </a:prstGeom>
        <a:solidFill>
          <a:srgbClr val="FFCC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1209675</xdr:colOff>
          <xdr:row>3</xdr:row>
          <xdr:rowOff>38100</xdr:rowOff>
        </xdr:from>
        <xdr:to>
          <xdr:col>8</xdr:col>
          <xdr:colOff>66675</xdr:colOff>
          <xdr:row>3</xdr:row>
          <xdr:rowOff>257175</xdr:rowOff>
        </xdr:to>
        <xdr:sp macro="" textlink="">
          <xdr:nvSpPr>
            <xdr:cNvPr id="51310" name="Button 110" hidden="1">
              <a:extLst>
                <a:ext uri="{63B3BB69-23CF-44E3-9099-C40C66FF867C}">
                  <a14:compatExt spid="_x0000_s5131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FF"/>
                  </a:solidFill>
                  <a:latin typeface="Arial"/>
                  <a:cs typeface="Arial"/>
                </a:rPr>
                <a:t>Effacer les données saisies (Graminées pures)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962025</xdr:colOff>
          <xdr:row>3</xdr:row>
          <xdr:rowOff>47625</xdr:rowOff>
        </xdr:from>
        <xdr:to>
          <xdr:col>19</xdr:col>
          <xdr:colOff>171450</xdr:colOff>
          <xdr:row>3</xdr:row>
          <xdr:rowOff>257175</xdr:rowOff>
        </xdr:to>
        <xdr:sp macro="" textlink="">
          <xdr:nvSpPr>
            <xdr:cNvPr id="51311" name="Button 111" hidden="1">
              <a:extLst>
                <a:ext uri="{63B3BB69-23CF-44E3-9099-C40C66FF867C}">
                  <a14:compatExt spid="_x0000_s51311"/>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FF"/>
                  </a:solidFill>
                  <a:latin typeface="Arial"/>
                  <a:cs typeface="Arial"/>
                </a:rPr>
                <a:t>Effacer les données saisies (Prairies d'association)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0</xdr:row>
          <xdr:rowOff>0</xdr:rowOff>
        </xdr:from>
        <xdr:to>
          <xdr:col>20</xdr:col>
          <xdr:colOff>276225</xdr:colOff>
          <xdr:row>2</xdr:row>
          <xdr:rowOff>66675</xdr:rowOff>
        </xdr:to>
        <xdr:sp macro="" textlink="">
          <xdr:nvSpPr>
            <xdr:cNvPr id="51317" name="Button 117" hidden="1">
              <a:extLst>
                <a:ext uri="{63B3BB69-23CF-44E3-9099-C40C66FF867C}">
                  <a14:compatExt spid="_x0000_s51317"/>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55</xdr:col>
      <xdr:colOff>742950</xdr:colOff>
      <xdr:row>2</xdr:row>
      <xdr:rowOff>209550</xdr:rowOff>
    </xdr:from>
    <xdr:to>
      <xdr:col>57</xdr:col>
      <xdr:colOff>1428750</xdr:colOff>
      <xdr:row>6</xdr:row>
      <xdr:rowOff>85725</xdr:rowOff>
    </xdr:to>
    <xdr:sp macro="" textlink="">
      <xdr:nvSpPr>
        <xdr:cNvPr id="52229" name="AutoShape 5"/>
        <xdr:cNvSpPr>
          <a:spLocks/>
        </xdr:cNvSpPr>
      </xdr:nvSpPr>
      <xdr:spPr bwMode="auto">
        <a:xfrm>
          <a:off x="37661850" y="685800"/>
          <a:ext cx="1800225" cy="609600"/>
        </a:xfrm>
        <a:prstGeom prst="borderCallout2">
          <a:avLst>
            <a:gd name="adj1" fmla="val 18750"/>
            <a:gd name="adj2" fmla="val 102880"/>
            <a:gd name="adj3" fmla="val 3125"/>
            <a:gd name="adj4" fmla="val 223256"/>
            <a:gd name="adj5" fmla="val -34373"/>
            <a:gd name="adj6" fmla="val 232822"/>
          </a:avLst>
        </a:prstGeom>
        <a:noFill/>
        <a:ln w="9525">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solidFill>
                <a:srgbClr xmlns:mc="http://schemas.openxmlformats.org/markup-compatibility/2006" val="C0C0C0" mc:Ignorable="a14" a14:legacySpreadsheetColorIndex="22"/>
              </a:solidFill>
            </a14:hiddenFill>
          </a:ext>
        </a:ex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Q si exprimé en quintal par ha,</a:t>
          </a:r>
        </a:p>
        <a:p>
          <a:pPr algn="l" rtl="0">
            <a:defRPr sz="1000"/>
          </a:pPr>
          <a:r>
            <a:rPr lang="fr-FR" sz="1000" b="0" i="0" u="none" strike="noStrike" baseline="0">
              <a:solidFill>
                <a:srgbClr val="000000"/>
              </a:solidFill>
              <a:latin typeface="Arial"/>
              <a:cs typeface="Arial"/>
            </a:rPr>
            <a:t>TS si exprimé en tonnes mat sèche par ha</a:t>
          </a:r>
        </a:p>
        <a:p>
          <a:pPr algn="l" rtl="0">
            <a:defRPr sz="1000"/>
          </a:pPr>
          <a:r>
            <a:rPr lang="fr-FR" sz="1000" b="0" i="0" u="none" strike="noStrike" baseline="0">
              <a:solidFill>
                <a:srgbClr val="000000"/>
              </a:solidFill>
              <a:latin typeface="Arial"/>
              <a:cs typeface="Arial"/>
            </a:rPr>
            <a:t>TF si exprimé en tonnes mat fraîche par ha</a:t>
          </a:r>
        </a:p>
      </xdr:txBody>
    </xdr:sp>
    <xdr:clientData/>
  </xdr:twoCellAnchor>
  <mc:AlternateContent xmlns:mc="http://schemas.openxmlformats.org/markup-compatibility/2006">
    <mc:Choice xmlns:a14="http://schemas.microsoft.com/office/drawing/2010/main" Requires="a14">
      <xdr:twoCellAnchor>
        <xdr:from>
          <xdr:col>3</xdr:col>
          <xdr:colOff>1171575</xdr:colOff>
          <xdr:row>0</xdr:row>
          <xdr:rowOff>0</xdr:rowOff>
        </xdr:from>
        <xdr:to>
          <xdr:col>7</xdr:col>
          <xdr:colOff>619125</xdr:colOff>
          <xdr:row>1</xdr:row>
          <xdr:rowOff>0</xdr:rowOff>
        </xdr:to>
        <xdr:sp macro="" textlink="">
          <xdr:nvSpPr>
            <xdr:cNvPr id="52352" name="Button 128" hidden="1">
              <a:extLst>
                <a:ext uri="{63B3BB69-23CF-44E3-9099-C40C66FF867C}">
                  <a14:compatExt spid="_x0000_s52352"/>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FF"/>
                  </a:solidFill>
                  <a:latin typeface="Arial"/>
                  <a:cs typeface="Arial"/>
                </a:rPr>
                <a:t>Effacer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561975</xdr:colOff>
          <xdr:row>0</xdr:row>
          <xdr:rowOff>0</xdr:rowOff>
        </xdr:from>
        <xdr:to>
          <xdr:col>13</xdr:col>
          <xdr:colOff>9525</xdr:colOff>
          <xdr:row>2</xdr:row>
          <xdr:rowOff>180975</xdr:rowOff>
        </xdr:to>
        <xdr:sp macro="" textlink="">
          <xdr:nvSpPr>
            <xdr:cNvPr id="52354" name="Button 130" hidden="1">
              <a:extLst>
                <a:ext uri="{63B3BB69-23CF-44E3-9099-C40C66FF867C}">
                  <a14:compatExt spid="_x0000_s52354"/>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41</xdr:row>
          <xdr:rowOff>57150</xdr:rowOff>
        </xdr:from>
        <xdr:to>
          <xdr:col>6</xdr:col>
          <xdr:colOff>171450</xdr:colOff>
          <xdr:row>41</xdr:row>
          <xdr:rowOff>323850</xdr:rowOff>
        </xdr:to>
        <xdr:sp macro="" textlink="">
          <xdr:nvSpPr>
            <xdr:cNvPr id="52356" name="Option Button 132" hidden="1">
              <a:extLst>
                <a:ext uri="{63B3BB69-23CF-44E3-9099-C40C66FF867C}">
                  <a14:compatExt spid="_x0000_s52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Calculer la minéralisation en décrivant le système de culture et la profondeur du sol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41</xdr:row>
          <xdr:rowOff>95250</xdr:rowOff>
        </xdr:from>
        <xdr:to>
          <xdr:col>9</xdr:col>
          <xdr:colOff>533400</xdr:colOff>
          <xdr:row>41</xdr:row>
          <xdr:rowOff>304800</xdr:rowOff>
        </xdr:to>
        <xdr:sp macro="" textlink="">
          <xdr:nvSpPr>
            <xdr:cNvPr id="52357" name="Option Button 133" hidden="1">
              <a:extLst>
                <a:ext uri="{63B3BB69-23CF-44E3-9099-C40C66FF867C}">
                  <a14:compatExt spid="_x0000_s52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Prendre les valeurs fournies par le GREN-DRAAF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41</xdr:row>
          <xdr:rowOff>57150</xdr:rowOff>
        </xdr:from>
        <xdr:to>
          <xdr:col>9</xdr:col>
          <xdr:colOff>590550</xdr:colOff>
          <xdr:row>41</xdr:row>
          <xdr:rowOff>342900</xdr:rowOff>
        </xdr:to>
        <xdr:sp macro="" textlink="">
          <xdr:nvSpPr>
            <xdr:cNvPr id="52358" name="Group Box 134" hidden="1">
              <a:extLst>
                <a:ext uri="{63B3BB69-23CF-44E3-9099-C40C66FF867C}">
                  <a14:compatExt spid="_x0000_s523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6.inrae.fr/animal_emissions/Outils/Gestion-des-effluents-Bilagreau"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45.xml"/><Relationship Id="rId4" Type="http://schemas.openxmlformats.org/officeDocument/2006/relationships/ctrlProp" Target="../ctrlProps/ctrlProp14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47.xml"/><Relationship Id="rId4" Type="http://schemas.openxmlformats.org/officeDocument/2006/relationships/ctrlProp" Target="../ctrlProps/ctrlProp14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trlProp" Target="../ctrlProps/ctrlProp14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5" Type="http://schemas.openxmlformats.org/officeDocument/2006/relationships/ctrlProp" Target="../ctrlProps/ctrlProp150.xml"/><Relationship Id="rId4" Type="http://schemas.openxmlformats.org/officeDocument/2006/relationships/ctrlProp" Target="../ctrlProps/ctrlProp14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trlProp" Target="../ctrlProps/ctrlProp15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trlProp" Target="../ctrlProps/ctrlProp15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0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0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3.xml"/><Relationship Id="rId13" Type="http://schemas.openxmlformats.org/officeDocument/2006/relationships/ctrlProp" Target="../ctrlProps/ctrlProp118.xml"/><Relationship Id="rId3" Type="http://schemas.openxmlformats.org/officeDocument/2006/relationships/vmlDrawing" Target="../drawings/vmlDrawing4.vml"/><Relationship Id="rId7" Type="http://schemas.openxmlformats.org/officeDocument/2006/relationships/ctrlProp" Target="../ctrlProps/ctrlProp112.xml"/><Relationship Id="rId12" Type="http://schemas.openxmlformats.org/officeDocument/2006/relationships/ctrlProp" Target="../ctrlProps/ctrlProp117.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11.xml"/><Relationship Id="rId11" Type="http://schemas.openxmlformats.org/officeDocument/2006/relationships/ctrlProp" Target="../ctrlProps/ctrlProp116.xml"/><Relationship Id="rId5" Type="http://schemas.openxmlformats.org/officeDocument/2006/relationships/ctrlProp" Target="../ctrlProps/ctrlProp110.xml"/><Relationship Id="rId10" Type="http://schemas.openxmlformats.org/officeDocument/2006/relationships/ctrlProp" Target="../ctrlProps/ctrlProp115.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24.xml"/><Relationship Id="rId13" Type="http://schemas.openxmlformats.org/officeDocument/2006/relationships/ctrlProp" Target="../ctrlProps/ctrlProp129.xml"/><Relationship Id="rId3" Type="http://schemas.openxmlformats.org/officeDocument/2006/relationships/vmlDrawing" Target="../drawings/vmlDrawing5.vml"/><Relationship Id="rId7" Type="http://schemas.openxmlformats.org/officeDocument/2006/relationships/ctrlProp" Target="../ctrlProps/ctrlProp123.xml"/><Relationship Id="rId12" Type="http://schemas.openxmlformats.org/officeDocument/2006/relationships/ctrlProp" Target="../ctrlProps/ctrlProp128.xml"/><Relationship Id="rId17" Type="http://schemas.openxmlformats.org/officeDocument/2006/relationships/ctrlProp" Target="../ctrlProps/ctrlProp133.xml"/><Relationship Id="rId2" Type="http://schemas.openxmlformats.org/officeDocument/2006/relationships/drawing" Target="../drawings/drawing6.xml"/><Relationship Id="rId16" Type="http://schemas.openxmlformats.org/officeDocument/2006/relationships/ctrlProp" Target="../ctrlProps/ctrlProp132.xml"/><Relationship Id="rId1" Type="http://schemas.openxmlformats.org/officeDocument/2006/relationships/printerSettings" Target="../printerSettings/printerSettings6.bin"/><Relationship Id="rId6" Type="http://schemas.openxmlformats.org/officeDocument/2006/relationships/ctrlProp" Target="../ctrlProps/ctrlProp122.xml"/><Relationship Id="rId11" Type="http://schemas.openxmlformats.org/officeDocument/2006/relationships/ctrlProp" Target="../ctrlProps/ctrlProp127.xml"/><Relationship Id="rId5" Type="http://schemas.openxmlformats.org/officeDocument/2006/relationships/ctrlProp" Target="../ctrlProps/ctrlProp121.xml"/><Relationship Id="rId15" Type="http://schemas.openxmlformats.org/officeDocument/2006/relationships/ctrlProp" Target="../ctrlProps/ctrlProp131.xml"/><Relationship Id="rId10" Type="http://schemas.openxmlformats.org/officeDocument/2006/relationships/ctrlProp" Target="../ctrlProps/ctrlProp126.xml"/><Relationship Id="rId4" Type="http://schemas.openxmlformats.org/officeDocument/2006/relationships/ctrlProp" Target="../ctrlProps/ctrlProp120.xml"/><Relationship Id="rId9" Type="http://schemas.openxmlformats.org/officeDocument/2006/relationships/ctrlProp" Target="../ctrlProps/ctrlProp125.xml"/><Relationship Id="rId14" Type="http://schemas.openxmlformats.org/officeDocument/2006/relationships/ctrlProp" Target="../ctrlProps/ctrlProp13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35.xml"/><Relationship Id="rId4" Type="http://schemas.openxmlformats.org/officeDocument/2006/relationships/ctrlProp" Target="../ctrlProps/ctrlProp13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38.xml"/><Relationship Id="rId5" Type="http://schemas.openxmlformats.org/officeDocument/2006/relationships/ctrlProp" Target="../ctrlProps/ctrlProp137.xml"/><Relationship Id="rId4" Type="http://schemas.openxmlformats.org/officeDocument/2006/relationships/ctrlProp" Target="../ctrlProps/ctrlProp13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3.xml"/><Relationship Id="rId3" Type="http://schemas.openxmlformats.org/officeDocument/2006/relationships/vmlDrawing" Target="../drawings/vmlDrawing8.vml"/><Relationship Id="rId7" Type="http://schemas.openxmlformats.org/officeDocument/2006/relationships/ctrlProp" Target="../ctrlProps/ctrlProp142.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41.xml"/><Relationship Id="rId5" Type="http://schemas.openxmlformats.org/officeDocument/2006/relationships/ctrlProp" Target="../ctrlProps/ctrlProp140.xml"/><Relationship Id="rId4" Type="http://schemas.openxmlformats.org/officeDocument/2006/relationships/ctrlProp" Target="../ctrlProps/ctrlProp13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tabColor theme="4" tint="-0.249977111117893"/>
  </sheetPr>
  <dimension ref="A1:N41"/>
  <sheetViews>
    <sheetView tabSelected="1" workbookViewId="0">
      <selection activeCell="A12" sqref="A12"/>
    </sheetView>
  </sheetViews>
  <sheetFormatPr baseColWidth="10" defaultColWidth="11.42578125" defaultRowHeight="15" x14ac:dyDescent="0.25"/>
  <cols>
    <col min="1" max="1" width="20" style="1698" customWidth="1"/>
    <col min="2" max="2" width="3.28515625" style="1698" customWidth="1"/>
    <col min="3" max="3" width="13.28515625" style="1698" customWidth="1"/>
    <col min="4" max="4" width="125.7109375" style="1698" customWidth="1"/>
    <col min="5" max="5" width="23.85546875" style="1698" customWidth="1"/>
    <col min="6" max="6" width="14.5703125" style="1698" customWidth="1"/>
    <col min="7" max="16384" width="11.42578125" style="1698"/>
  </cols>
  <sheetData>
    <row r="1" spans="1:14" ht="26.25" x14ac:dyDescent="0.25">
      <c r="A1" s="2966" t="s">
        <v>1438</v>
      </c>
      <c r="B1" s="2967"/>
      <c r="C1" s="2967"/>
      <c r="D1" s="2968"/>
      <c r="E1" s="2151"/>
      <c r="F1" s="2152"/>
    </row>
    <row r="2" spans="1:14" ht="15.75" x14ac:dyDescent="0.25">
      <c r="A2" s="2969" t="s">
        <v>1439</v>
      </c>
      <c r="B2" s="2970"/>
      <c r="C2" s="2970"/>
      <c r="D2" s="2971"/>
      <c r="E2" s="2151"/>
      <c r="F2" s="2152"/>
    </row>
    <row r="3" spans="1:14" ht="15.75" x14ac:dyDescent="0.25">
      <c r="A3" s="2969"/>
      <c r="B3" s="2970"/>
      <c r="C3" s="2970"/>
      <c r="D3" s="2971"/>
      <c r="E3" s="2151"/>
      <c r="F3" s="2152"/>
    </row>
    <row r="4" spans="1:14" x14ac:dyDescent="0.25">
      <c r="A4" s="2972" t="s">
        <v>2325</v>
      </c>
      <c r="B4" s="2973"/>
      <c r="C4" s="2973"/>
      <c r="D4" s="2974"/>
      <c r="E4" s="2151"/>
      <c r="F4" s="2152"/>
    </row>
    <row r="5" spans="1:14" ht="15.75" thickBot="1" x14ac:dyDescent="0.3">
      <c r="A5" s="2975" t="s">
        <v>2326</v>
      </c>
      <c r="B5" s="2976"/>
      <c r="C5" s="2976"/>
      <c r="D5" s="2977"/>
      <c r="E5" s="2152"/>
      <c r="F5" s="2152"/>
    </row>
    <row r="6" spans="1:14" x14ac:dyDescent="0.25">
      <c r="A6" s="2153"/>
      <c r="B6" s="2154"/>
      <c r="C6" s="2154"/>
      <c r="D6" s="2151"/>
      <c r="E6" s="2152"/>
      <c r="F6" s="2152"/>
      <c r="K6" s="1699"/>
      <c r="L6" s="1699"/>
      <c r="M6" s="1699"/>
      <c r="N6" s="1699"/>
    </row>
    <row r="7" spans="1:14" ht="23.25" x14ac:dyDescent="0.35">
      <c r="A7" s="2813" t="s">
        <v>1440</v>
      </c>
      <c r="B7" s="2809"/>
      <c r="C7" s="2809"/>
      <c r="D7" s="2809"/>
      <c r="E7" s="2809"/>
      <c r="F7" s="2151"/>
      <c r="H7" s="1699"/>
      <c r="I7" s="1699"/>
      <c r="J7" s="1699"/>
      <c r="K7" s="1699"/>
      <c r="L7" s="1699"/>
      <c r="M7" s="1699"/>
      <c r="N7" s="1699"/>
    </row>
    <row r="8" spans="1:14" ht="24.95" customHeight="1" x14ac:dyDescent="0.35">
      <c r="A8" s="2963" t="s">
        <v>1459</v>
      </c>
      <c r="B8" s="2963"/>
      <c r="C8" s="2963"/>
      <c r="D8" s="2810" t="s">
        <v>1441</v>
      </c>
      <c r="E8" s="2809"/>
      <c r="F8" s="2151"/>
      <c r="H8" s="1699"/>
      <c r="I8" s="1699"/>
      <c r="J8" s="1699"/>
      <c r="K8" s="1699"/>
      <c r="L8" s="1699"/>
      <c r="M8" s="1699"/>
      <c r="N8" s="1699"/>
    </row>
    <row r="9" spans="1:14" ht="24.95" customHeight="1" x14ac:dyDescent="0.35">
      <c r="A9" s="2980" t="s">
        <v>1460</v>
      </c>
      <c r="B9" s="2980"/>
      <c r="C9" s="2980"/>
      <c r="D9" s="2964" t="s">
        <v>2366</v>
      </c>
      <c r="E9" s="2964"/>
      <c r="F9" s="2155"/>
      <c r="H9" s="1699"/>
      <c r="I9" s="1699"/>
      <c r="J9" s="1699"/>
      <c r="K9" s="1699"/>
      <c r="L9" s="1699"/>
      <c r="M9" s="1699"/>
      <c r="N9" s="1699"/>
    </row>
    <row r="10" spans="1:14" ht="24.95" customHeight="1" x14ac:dyDescent="0.35">
      <c r="A10" s="2963" t="s">
        <v>1215</v>
      </c>
      <c r="B10" s="2963"/>
      <c r="C10" s="2963"/>
      <c r="D10" s="2810" t="s">
        <v>1442</v>
      </c>
      <c r="E10" s="2809"/>
      <c r="F10" s="2151"/>
      <c r="H10" s="1699"/>
      <c r="I10" s="1699"/>
      <c r="J10" s="1699"/>
      <c r="K10" s="1699"/>
      <c r="L10" s="1699"/>
      <c r="M10" s="1699"/>
      <c r="N10" s="1699"/>
    </row>
    <row r="11" spans="1:14" ht="24.95" customHeight="1" x14ac:dyDescent="0.35">
      <c r="A11" s="2963" t="s">
        <v>1461</v>
      </c>
      <c r="B11" s="2963"/>
      <c r="C11" s="2963"/>
      <c r="D11" s="2810" t="s">
        <v>2183</v>
      </c>
      <c r="E11" s="2809"/>
      <c r="F11" s="2151"/>
      <c r="H11" s="1699"/>
      <c r="I11" s="1699"/>
      <c r="J11" s="1699"/>
      <c r="K11" s="1699"/>
      <c r="L11" s="1699"/>
      <c r="M11" s="1699"/>
      <c r="N11" s="1699"/>
    </row>
    <row r="12" spans="1:14" ht="24.95" customHeight="1" x14ac:dyDescent="0.35">
      <c r="A12" s="2811" t="s">
        <v>1467</v>
      </c>
      <c r="B12" s="2809" t="s">
        <v>1466</v>
      </c>
      <c r="C12" s="2812" t="s">
        <v>1465</v>
      </c>
      <c r="D12" s="2810" t="s">
        <v>2184</v>
      </c>
      <c r="E12" s="2809"/>
      <c r="F12" s="2151"/>
    </row>
    <row r="13" spans="1:14" ht="24.95" customHeight="1" x14ac:dyDescent="0.35">
      <c r="A13" s="2963" t="s">
        <v>1462</v>
      </c>
      <c r="B13" s="2963"/>
      <c r="C13" s="2963"/>
      <c r="D13" s="2810" t="s">
        <v>2185</v>
      </c>
      <c r="E13" s="2809"/>
      <c r="F13" s="2151"/>
    </row>
    <row r="14" spans="1:14" ht="24.95" customHeight="1" x14ac:dyDescent="0.35">
      <c r="A14" s="2963" t="s">
        <v>1463</v>
      </c>
      <c r="B14" s="2963"/>
      <c r="C14" s="2963"/>
      <c r="D14" s="2810" t="s">
        <v>1443</v>
      </c>
      <c r="E14" s="2809"/>
      <c r="F14" s="2151"/>
    </row>
    <row r="15" spans="1:14" ht="24.95" customHeight="1" x14ac:dyDescent="0.35">
      <c r="A15" s="2811" t="s">
        <v>806</v>
      </c>
      <c r="B15" s="2809" t="s">
        <v>1466</v>
      </c>
      <c r="C15" s="2812" t="s">
        <v>1370</v>
      </c>
      <c r="D15" s="2810" t="s">
        <v>1444</v>
      </c>
      <c r="E15" s="2809"/>
      <c r="F15" s="2151"/>
    </row>
    <row r="16" spans="1:14" ht="24.95" customHeight="1" x14ac:dyDescent="0.35">
      <c r="A16" s="2963" t="s">
        <v>1464</v>
      </c>
      <c r="B16" s="2963"/>
      <c r="C16" s="2963"/>
      <c r="D16" s="2810" t="s">
        <v>1445</v>
      </c>
      <c r="E16" s="2809"/>
      <c r="F16" s="2151"/>
    </row>
    <row r="17" spans="1:10" ht="24.95" customHeight="1" x14ac:dyDescent="0.35">
      <c r="A17" s="2812" t="s">
        <v>1930</v>
      </c>
      <c r="B17" s="2809"/>
      <c r="C17" s="2809"/>
      <c r="D17" s="2810" t="s">
        <v>2186</v>
      </c>
      <c r="E17" s="2809"/>
      <c r="F17" s="2151"/>
    </row>
    <row r="18" spans="1:10" ht="24.95" customHeight="1" x14ac:dyDescent="0.35">
      <c r="A18" s="2812" t="s">
        <v>2181</v>
      </c>
      <c r="B18" s="2809"/>
      <c r="C18" s="2809"/>
      <c r="D18" s="2810" t="s">
        <v>2187</v>
      </c>
      <c r="E18" s="2809"/>
      <c r="F18" s="2151"/>
    </row>
    <row r="19" spans="1:10" ht="24.95" customHeight="1" x14ac:dyDescent="0.35">
      <c r="A19" s="2812" t="s">
        <v>2182</v>
      </c>
      <c r="B19" s="2809"/>
      <c r="C19" s="2809"/>
      <c r="D19" s="2810" t="s">
        <v>2367</v>
      </c>
      <c r="E19" s="2809"/>
      <c r="F19" s="2151"/>
    </row>
    <row r="20" spans="1:10" x14ac:dyDescent="0.25">
      <c r="A20" s="2151"/>
      <c r="B20" s="2151"/>
      <c r="C20" s="2151"/>
      <c r="D20" s="2151"/>
      <c r="E20" s="2151"/>
      <c r="F20" s="2151"/>
    </row>
    <row r="21" spans="1:10" x14ac:dyDescent="0.25">
      <c r="A21" s="2156" t="s">
        <v>1446</v>
      </c>
      <c r="B21" s="2151"/>
      <c r="C21" s="2151"/>
      <c r="D21" s="2151"/>
      <c r="E21" s="2151"/>
      <c r="F21" s="2151"/>
    </row>
    <row r="22" spans="1:10" x14ac:dyDescent="0.25">
      <c r="A22" s="2157" t="s">
        <v>1447</v>
      </c>
      <c r="B22" s="2158"/>
      <c r="C22" s="2158"/>
      <c r="D22" s="2158"/>
      <c r="E22" s="2159"/>
      <c r="F22" s="2151"/>
    </row>
    <row r="23" spans="1:10" x14ac:dyDescent="0.25">
      <c r="A23" s="2157" t="s">
        <v>1456</v>
      </c>
      <c r="B23" s="2158"/>
      <c r="C23" s="2158"/>
      <c r="D23" s="2158"/>
      <c r="E23" s="2158"/>
      <c r="F23" s="2151"/>
    </row>
    <row r="24" spans="1:10" x14ac:dyDescent="0.25">
      <c r="A24" s="2157" t="s">
        <v>1457</v>
      </c>
      <c r="B24" s="2158"/>
      <c r="C24" s="2158"/>
      <c r="D24" s="2158"/>
      <c r="E24" s="2158"/>
      <c r="F24" s="2151"/>
    </row>
    <row r="25" spans="1:10" x14ac:dyDescent="0.25">
      <c r="A25" s="2978" t="s">
        <v>1458</v>
      </c>
      <c r="B25" s="2979"/>
      <c r="C25" s="2979"/>
      <c r="D25" s="2979"/>
      <c r="E25" s="2979"/>
      <c r="F25" s="2151"/>
    </row>
    <row r="26" spans="1:10" x14ac:dyDescent="0.25">
      <c r="A26" s="2157"/>
      <c r="B26" s="2158"/>
      <c r="C26" s="2158"/>
      <c r="D26" s="2158"/>
      <c r="E26" s="2158"/>
      <c r="F26" s="2151"/>
    </row>
    <row r="27" spans="1:10" x14ac:dyDescent="0.25">
      <c r="A27" s="2160" t="s">
        <v>1448</v>
      </c>
      <c r="B27" s="2161"/>
      <c r="C27" s="2161"/>
      <c r="D27" s="2161"/>
      <c r="E27" s="2161"/>
      <c r="F27" s="2161"/>
      <c r="G27" s="1700"/>
      <c r="H27" s="1700"/>
      <c r="I27" s="1700"/>
      <c r="J27" s="1700"/>
    </row>
    <row r="28" spans="1:10" x14ac:dyDescent="0.25">
      <c r="A28" s="2157" t="s">
        <v>1449</v>
      </c>
      <c r="B28" s="2161"/>
      <c r="C28" s="2161"/>
      <c r="D28" s="2161"/>
      <c r="E28" s="2161"/>
      <c r="F28" s="2161"/>
      <c r="G28" s="1700"/>
      <c r="H28" s="1700"/>
      <c r="I28" s="1700"/>
      <c r="J28" s="1700"/>
    </row>
    <row r="29" spans="1:10" x14ac:dyDescent="0.25">
      <c r="A29" s="2157" t="s">
        <v>1450</v>
      </c>
      <c r="B29" s="2161"/>
      <c r="C29" s="2161"/>
      <c r="D29" s="2161"/>
      <c r="E29" s="2161"/>
      <c r="F29" s="2161"/>
      <c r="G29" s="1700"/>
      <c r="H29" s="1700"/>
      <c r="I29" s="1700"/>
      <c r="J29" s="1700"/>
    </row>
    <row r="30" spans="1:10" x14ac:dyDescent="0.25">
      <c r="A30" s="2157" t="s">
        <v>1451</v>
      </c>
      <c r="B30" s="2161"/>
      <c r="C30" s="2161"/>
      <c r="D30" s="2161"/>
      <c r="E30" s="2161"/>
      <c r="F30" s="2161"/>
      <c r="G30" s="1700"/>
      <c r="H30" s="1700"/>
      <c r="I30" s="1700"/>
      <c r="J30" s="1700"/>
    </row>
    <row r="31" spans="1:10" x14ac:dyDescent="0.25">
      <c r="A31" s="2157" t="s">
        <v>1452</v>
      </c>
      <c r="B31" s="2161"/>
      <c r="C31" s="2161"/>
      <c r="D31" s="2161"/>
      <c r="E31" s="2161"/>
      <c r="F31" s="2161"/>
      <c r="G31" s="1700"/>
      <c r="H31" s="1700"/>
      <c r="I31" s="1700"/>
      <c r="J31" s="1700"/>
    </row>
    <row r="32" spans="1:10" x14ac:dyDescent="0.25">
      <c r="A32" s="2157" t="s">
        <v>1453</v>
      </c>
      <c r="B32" s="2161"/>
      <c r="C32" s="2161"/>
      <c r="D32" s="2161"/>
      <c r="E32" s="2161"/>
      <c r="F32" s="2161"/>
      <c r="G32" s="1700"/>
      <c r="H32" s="1700"/>
      <c r="I32" s="1700"/>
      <c r="J32" s="1700"/>
    </row>
    <row r="33" spans="1:10" x14ac:dyDescent="0.25">
      <c r="A33" s="2157" t="s">
        <v>1454</v>
      </c>
      <c r="B33" s="2161"/>
      <c r="C33" s="2161"/>
      <c r="D33" s="2161"/>
      <c r="E33" s="2161"/>
      <c r="F33" s="2161"/>
      <c r="G33" s="1700"/>
      <c r="H33" s="1700"/>
      <c r="I33" s="1700"/>
      <c r="J33" s="1700"/>
    </row>
    <row r="34" spans="1:10" x14ac:dyDescent="0.25">
      <c r="A34" s="2157"/>
      <c r="B34" s="2161"/>
      <c r="C34" s="2161"/>
      <c r="D34" s="2161"/>
      <c r="E34" s="2161"/>
      <c r="F34" s="2161"/>
      <c r="G34" s="1700"/>
      <c r="H34" s="1700"/>
      <c r="I34" s="1700"/>
      <c r="J34" s="1700"/>
    </row>
    <row r="35" spans="1:10" ht="30.75" customHeight="1" x14ac:dyDescent="0.25">
      <c r="A35" s="2965" t="s">
        <v>1455</v>
      </c>
      <c r="B35" s="2965"/>
      <c r="C35" s="2965"/>
      <c r="D35" s="2965"/>
      <c r="E35" s="2162"/>
      <c r="F35" s="2162"/>
      <c r="G35" s="1701"/>
      <c r="H35" s="1701"/>
      <c r="I35" s="1701"/>
      <c r="J35" s="1701"/>
    </row>
    <row r="36" spans="1:10" x14ac:dyDescent="0.25">
      <c r="A36" s="2815" t="s">
        <v>2350</v>
      </c>
      <c r="B36" s="2814" t="s">
        <v>2351</v>
      </c>
      <c r="C36" s="2151"/>
      <c r="D36" s="2151"/>
      <c r="E36" s="2151"/>
      <c r="F36" s="2151"/>
    </row>
    <row r="37" spans="1:10" x14ac:dyDescent="0.25">
      <c r="A37" s="2962" t="s">
        <v>2472</v>
      </c>
      <c r="B37" s="2962"/>
      <c r="C37" s="2962"/>
      <c r="D37" s="2962"/>
      <c r="E37" s="2151"/>
      <c r="F37" s="2151"/>
    </row>
    <row r="38" spans="1:10" x14ac:dyDescent="0.25">
      <c r="A38" s="2151"/>
      <c r="B38" s="2151"/>
      <c r="C38" s="2151"/>
      <c r="D38" s="2151"/>
      <c r="E38" s="2151"/>
      <c r="F38" s="2151"/>
    </row>
    <row r="39" spans="1:10" x14ac:dyDescent="0.25">
      <c r="A39" s="2151"/>
      <c r="B39" s="2151"/>
      <c r="C39" s="2151"/>
      <c r="D39" s="2151"/>
      <c r="E39" s="2151"/>
      <c r="F39" s="2151"/>
    </row>
    <row r="40" spans="1:10" x14ac:dyDescent="0.25">
      <c r="A40" s="2151"/>
      <c r="B40" s="2151"/>
      <c r="C40" s="2151"/>
      <c r="D40" s="2151"/>
      <c r="E40" s="2151"/>
      <c r="F40" s="2151"/>
    </row>
    <row r="41" spans="1:10" x14ac:dyDescent="0.25">
      <c r="A41" s="2151"/>
      <c r="B41" s="2151"/>
      <c r="C41" s="2151"/>
      <c r="D41" s="2151"/>
      <c r="E41" s="2151"/>
      <c r="F41" s="2151"/>
    </row>
  </sheetData>
  <sheetProtection algorithmName="SHA-512" hashValue="MJw4wk4ufAAI6FDkfMPIEo9bQSFca6CfU3Sn60KKoywYL16WQHC07hDmt8H9OJSuzeX0n4eByvdfrt4EPm25ZA==" saltValue="lNSdDPf6TTjenmnGiEkklA==" spinCount="100000" sheet="1" objects="1" scenarios="1"/>
  <mergeCells count="16">
    <mergeCell ref="A8:C8"/>
    <mergeCell ref="A25:E25"/>
    <mergeCell ref="A9:C9"/>
    <mergeCell ref="A10:C10"/>
    <mergeCell ref="A11:C11"/>
    <mergeCell ref="A13:C13"/>
    <mergeCell ref="A1:D1"/>
    <mergeCell ref="A2:D2"/>
    <mergeCell ref="A3:D3"/>
    <mergeCell ref="A4:D4"/>
    <mergeCell ref="A5:D5"/>
    <mergeCell ref="A37:D37"/>
    <mergeCell ref="A14:C14"/>
    <mergeCell ref="A16:C16"/>
    <mergeCell ref="D9:E9"/>
    <mergeCell ref="A35:D35"/>
  </mergeCells>
  <hyperlinks>
    <hyperlink ref="A8" location="Saisies_Exploitation!A1" display="Saisies_Exploitation"/>
    <hyperlink ref="A9" location="NPK_Organiques!A1" display="NPK_Organiques"/>
    <hyperlink ref="A10" location="Chargements!A1" display="Chargements"/>
    <hyperlink ref="A11" location="Pressions_Prairies!A1" display="Pressions_Prairies"/>
    <hyperlink ref="A12" location="Plan_Epandage!A1" display="Plan-Epandage"/>
    <hyperlink ref="C12" location="Ferti_SAU!A1" display="Ferti_SAU"/>
    <hyperlink ref="A13" location="Ferti_Prairies!A1" display="Ferti_Prairies"/>
    <hyperlink ref="A14" location="Ferti_Cultures!A1" display="Ferti_Cultures"/>
    <hyperlink ref="A15" location="Autonomie!A1" display="Autonomie"/>
    <hyperlink ref="A16" location="Resultats!A1" display="Resultats"/>
    <hyperlink ref="C15" location="Achats!A1" display="Achats"/>
    <hyperlink ref="A17" location="Saisie_Bilan!A1" display="Saisie Bilan"/>
    <hyperlink ref="A18" location="Resu_Bilan!A1" display="Résultats Bilan"/>
    <hyperlink ref="A19" location="Resu_Bilan_Pat!A1" display="Resu_Bilan_Pat"/>
    <hyperlink ref="B36" r:id="rId1"/>
  </hyperlinks>
  <pageMargins left="0.7" right="0.7" top="0.75" bottom="0.75" header="0.3" footer="0.3"/>
  <pageSetup paperSize="9" orientation="portrait" horizontalDpi="4294967295"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8">
    <tabColor theme="4" tint="0.39997558519241921"/>
  </sheetPr>
  <dimension ref="A1:CZ158"/>
  <sheetViews>
    <sheetView topLeftCell="A43" workbookViewId="0">
      <selection activeCell="F22" sqref="F22"/>
    </sheetView>
  </sheetViews>
  <sheetFormatPr baseColWidth="10" defaultRowHeight="12.75" x14ac:dyDescent="0.2"/>
  <cols>
    <col min="1" max="1" width="3" customWidth="1"/>
    <col min="2" max="2" width="2.42578125" customWidth="1"/>
    <col min="3" max="3" width="29.85546875" bestFit="1" customWidth="1"/>
    <col min="4" max="4" width="10.5703125" customWidth="1"/>
    <col min="5" max="5" width="9.85546875" customWidth="1"/>
    <col min="6" max="6" width="11.42578125" customWidth="1"/>
    <col min="7" max="7" width="8.5703125" customWidth="1"/>
    <col min="8" max="8" width="11.42578125" customWidth="1"/>
    <col min="9" max="9" width="9.140625" customWidth="1"/>
    <col min="10" max="10" width="11.42578125" customWidth="1"/>
    <col min="11" max="12" width="10.28515625" customWidth="1"/>
    <col min="13" max="13" width="3.28515625" customWidth="1"/>
    <col min="14" max="15" width="14.42578125" customWidth="1"/>
    <col min="16" max="18" width="4.42578125" customWidth="1"/>
    <col min="19" max="19" width="4.5703125" customWidth="1"/>
    <col min="20" max="20" width="8.42578125" customWidth="1"/>
    <col min="21" max="21" width="10.28515625" customWidth="1"/>
    <col min="26" max="26" width="11.42578125" customWidth="1"/>
    <col min="27" max="27" width="24.42578125" hidden="1" customWidth="1"/>
    <col min="28" max="28" width="26.7109375" hidden="1" customWidth="1"/>
    <col min="29" max="29" width="8.42578125" hidden="1" customWidth="1"/>
    <col min="30" max="30" width="10.42578125" hidden="1" customWidth="1"/>
    <col min="31" max="31" width="20.5703125" hidden="1" customWidth="1"/>
    <col min="32" max="32" width="26.5703125" hidden="1" customWidth="1"/>
    <col min="33" max="33" width="43" hidden="1" customWidth="1"/>
    <col min="34" max="34" width="39.42578125" hidden="1" customWidth="1"/>
    <col min="35" max="35" width="20.42578125" hidden="1" customWidth="1"/>
    <col min="36" max="36" width="7.5703125" style="576" hidden="1" customWidth="1"/>
    <col min="37" max="37" width="6.5703125" style="576" hidden="1" customWidth="1"/>
    <col min="38" max="38" width="5" style="576" hidden="1" customWidth="1"/>
    <col min="39" max="39" width="5.7109375" style="576" hidden="1" customWidth="1"/>
    <col min="40" max="40" width="13.28515625" style="576" hidden="1" customWidth="1"/>
    <col min="41" max="41" width="16.5703125" hidden="1" customWidth="1"/>
    <col min="42" max="42" width="8.140625" hidden="1" customWidth="1"/>
    <col min="43" max="43" width="13.42578125" hidden="1" customWidth="1"/>
    <col min="44" max="44" width="18" hidden="1" customWidth="1"/>
    <col min="45" max="45" width="6.5703125" hidden="1" customWidth="1"/>
    <col min="46" max="46" width="5" hidden="1" customWidth="1"/>
    <col min="47" max="47" width="2" hidden="1" customWidth="1"/>
    <col min="48" max="48" width="10.5703125" hidden="1" customWidth="1"/>
    <col min="49" max="49" width="16.5703125" hidden="1" customWidth="1"/>
    <col min="50" max="50" width="6.5703125" hidden="1" customWidth="1"/>
    <col min="51" max="51" width="5" hidden="1" customWidth="1"/>
    <col min="52" max="52" width="4.7109375" hidden="1" customWidth="1"/>
    <col min="53" max="53" width="16.5703125" hidden="1" customWidth="1"/>
    <col min="54" max="55" width="6.5703125" hidden="1" customWidth="1"/>
    <col min="56" max="56" width="13.85546875" hidden="1" customWidth="1"/>
    <col min="57" max="57" width="6.5703125" hidden="1" customWidth="1"/>
    <col min="58" max="58" width="5" hidden="1" customWidth="1"/>
    <col min="59" max="59" width="13.42578125" hidden="1" customWidth="1"/>
    <col min="60" max="60" width="10.85546875" hidden="1" customWidth="1"/>
    <col min="61" max="61" width="7.85546875" hidden="1" customWidth="1"/>
    <col min="62" max="62" width="6.5703125" hidden="1" customWidth="1"/>
    <col min="63" max="63" width="5" hidden="1" customWidth="1"/>
    <col min="64" max="64" width="2" hidden="1" customWidth="1"/>
    <col min="65" max="65" width="13.42578125" hidden="1" customWidth="1"/>
    <col min="66" max="67" width="6.5703125" hidden="1" customWidth="1"/>
    <col min="68" max="68" width="5.85546875" hidden="1" customWidth="1"/>
    <col min="69" max="69" width="6.5703125" hidden="1" customWidth="1"/>
    <col min="70" max="71" width="5" hidden="1" customWidth="1"/>
    <col min="72" max="72" width="10.85546875" hidden="1" customWidth="1"/>
    <col min="73" max="73" width="7.85546875" hidden="1" customWidth="1"/>
    <col min="74" max="74" width="6.5703125" hidden="1" customWidth="1"/>
    <col min="75" max="75" width="5" hidden="1" customWidth="1"/>
    <col min="76" max="76" width="2" hidden="1" customWidth="1"/>
    <col min="77" max="77" width="5" hidden="1" customWidth="1"/>
    <col min="78" max="78" width="6.5703125" hidden="1" customWidth="1"/>
    <col min="79" max="79" width="5" hidden="1" customWidth="1"/>
    <col min="80" max="80" width="5.85546875" hidden="1" customWidth="1"/>
    <col min="81" max="81" width="6.5703125" hidden="1" customWidth="1"/>
    <col min="82" max="83" width="5" hidden="1" customWidth="1"/>
    <col min="84" max="84" width="10.85546875" hidden="1" customWidth="1"/>
    <col min="85" max="85" width="7.85546875" hidden="1" customWidth="1"/>
    <col min="86" max="86" width="6.5703125" hidden="1" customWidth="1"/>
    <col min="87" max="87" width="5" hidden="1" customWidth="1"/>
    <col min="88" max="88" width="2" hidden="1" customWidth="1"/>
    <col min="89" max="89" width="5" hidden="1" customWidth="1"/>
    <col min="90" max="90" width="6.5703125" hidden="1" customWidth="1"/>
    <col min="91" max="91" width="5" hidden="1" customWidth="1"/>
    <col min="92" max="92" width="5.85546875" hidden="1" customWidth="1"/>
    <col min="93" max="93" width="6.5703125" hidden="1" customWidth="1"/>
    <col min="94" max="94" width="5" hidden="1" customWidth="1"/>
    <col min="95" max="104" width="11.42578125" hidden="1" customWidth="1"/>
  </cols>
  <sheetData>
    <row r="1" spans="1:52" ht="18" x14ac:dyDescent="0.25">
      <c r="A1" s="1288" t="s">
        <v>806</v>
      </c>
      <c r="B1" s="1164"/>
      <c r="C1" s="1164"/>
      <c r="D1" s="1164"/>
      <c r="E1" s="1164"/>
      <c r="F1" s="1164"/>
      <c r="G1" s="1164"/>
      <c r="H1" s="1164"/>
      <c r="I1" s="1164"/>
      <c r="J1" s="1164"/>
      <c r="K1" s="1164"/>
      <c r="L1" s="1164"/>
      <c r="M1" s="1164"/>
      <c r="N1" s="1498"/>
      <c r="O1" s="1498"/>
      <c r="P1" s="1498"/>
      <c r="Q1" s="1498"/>
      <c r="R1" s="1498"/>
      <c r="S1" s="1498"/>
      <c r="T1" s="1498"/>
      <c r="U1" s="1498"/>
      <c r="V1" s="1498"/>
      <c r="W1" s="1498"/>
      <c r="X1" s="1498"/>
      <c r="Y1" s="1498"/>
      <c r="Z1" s="1498"/>
    </row>
    <row r="2" spans="1:52" ht="18" customHeight="1" x14ac:dyDescent="0.25">
      <c r="A2" s="1273" t="s">
        <v>1430</v>
      </c>
      <c r="B2" s="1164"/>
      <c r="C2" s="1164"/>
      <c r="D2" s="1280"/>
      <c r="E2" s="1280" t="s">
        <v>216</v>
      </c>
      <c r="F2" s="1280" t="s">
        <v>623</v>
      </c>
      <c r="G2" s="1280"/>
      <c r="H2" s="3289" t="s">
        <v>302</v>
      </c>
      <c r="I2" s="3289"/>
      <c r="J2" s="3289"/>
      <c r="K2" s="3289"/>
      <c r="L2" s="3289"/>
      <c r="M2" s="1164"/>
      <c r="N2" s="1498"/>
      <c r="O2" s="1498"/>
      <c r="P2" s="1498"/>
      <c r="Q2" s="1498"/>
      <c r="R2" s="1498"/>
      <c r="S2" s="1498"/>
      <c r="T2" s="1498"/>
      <c r="U2" s="1498"/>
      <c r="V2" s="1498"/>
      <c r="W2" s="1498"/>
      <c r="X2" s="1498"/>
      <c r="Y2" s="1498"/>
      <c r="Z2" s="1498"/>
      <c r="AC2" s="1487" t="s">
        <v>1472</v>
      </c>
      <c r="AD2" s="1520" t="s">
        <v>1473</v>
      </c>
      <c r="AJ2"/>
      <c r="AK2"/>
    </row>
    <row r="3" spans="1:52" x14ac:dyDescent="0.2">
      <c r="A3" s="1164"/>
      <c r="B3" s="1164"/>
      <c r="C3" s="1164"/>
      <c r="D3" s="1164"/>
      <c r="E3" s="1324" t="s">
        <v>156</v>
      </c>
      <c r="F3" s="1324" t="s">
        <v>300</v>
      </c>
      <c r="G3" s="1279"/>
      <c r="H3" s="1324" t="s">
        <v>313</v>
      </c>
      <c r="I3" s="1324"/>
      <c r="J3" s="1324" t="s">
        <v>219</v>
      </c>
      <c r="K3" s="1324" t="s">
        <v>220</v>
      </c>
      <c r="L3" s="1324" t="s">
        <v>221</v>
      </c>
      <c r="M3" s="1164"/>
      <c r="N3" s="1498"/>
      <c r="O3" s="1498"/>
      <c r="P3" s="1498"/>
      <c r="Q3" s="1498"/>
      <c r="R3" s="1498"/>
      <c r="S3" s="1498"/>
      <c r="T3" s="1498"/>
      <c r="U3" s="1498"/>
      <c r="V3" s="1498"/>
      <c r="W3" s="1498"/>
      <c r="X3" s="1498"/>
      <c r="Y3" s="1498"/>
      <c r="Z3" s="1498"/>
      <c r="AH3" s="1283" t="s">
        <v>222</v>
      </c>
      <c r="AI3" s="712" t="s">
        <v>219</v>
      </c>
      <c r="AJ3" s="712" t="s">
        <v>625</v>
      </c>
      <c r="AK3" s="712" t="s">
        <v>187</v>
      </c>
      <c r="AL3" s="712" t="s">
        <v>665</v>
      </c>
      <c r="AM3"/>
      <c r="AN3" s="712" t="s">
        <v>1806</v>
      </c>
    </row>
    <row r="4" spans="1:52" ht="15" x14ac:dyDescent="0.25">
      <c r="A4" s="1284" t="s">
        <v>50</v>
      </c>
      <c r="B4" s="1259"/>
      <c r="C4" s="1259"/>
      <c r="D4" s="2133" t="s">
        <v>2278</v>
      </c>
      <c r="E4" s="1256"/>
      <c r="F4" s="1324" t="s">
        <v>301</v>
      </c>
      <c r="G4" s="1164"/>
      <c r="H4" s="1279" t="s">
        <v>1475</v>
      </c>
      <c r="I4" s="1164"/>
      <c r="J4" s="1164"/>
      <c r="K4" s="1164"/>
      <c r="L4" s="1164"/>
      <c r="M4" s="1164"/>
      <c r="N4" s="1498"/>
      <c r="O4" s="1498"/>
      <c r="P4" s="1498"/>
      <c r="Q4" s="1498"/>
      <c r="R4" s="1498"/>
      <c r="S4" s="1498"/>
      <c r="T4" s="1498"/>
      <c r="U4" s="1498"/>
      <c r="V4" s="1498"/>
      <c r="W4" s="1498"/>
      <c r="X4" s="1498"/>
      <c r="Y4" s="1498"/>
      <c r="Z4" s="1498"/>
      <c r="AF4" s="17" t="s">
        <v>50</v>
      </c>
      <c r="AG4" s="17"/>
      <c r="AH4" s="17"/>
      <c r="AJ4"/>
      <c r="AK4"/>
      <c r="AL4"/>
      <c r="AM4"/>
      <c r="AN4"/>
    </row>
    <row r="5" spans="1:52" x14ac:dyDescent="0.2">
      <c r="A5" s="1164"/>
      <c r="B5" s="1164"/>
      <c r="C5" s="6" t="s">
        <v>214</v>
      </c>
      <c r="D5" s="2133" t="s">
        <v>2279</v>
      </c>
      <c r="E5" s="1164"/>
      <c r="F5" s="1164"/>
      <c r="G5" s="1279"/>
      <c r="H5" s="1164"/>
      <c r="I5" s="1164"/>
      <c r="J5" s="1164"/>
      <c r="K5" s="1164"/>
      <c r="L5" s="1164"/>
      <c r="M5" s="1164"/>
      <c r="N5" s="3209" t="s">
        <v>2327</v>
      </c>
      <c r="O5" s="3209"/>
      <c r="P5" s="1498"/>
      <c r="Q5" s="1498"/>
      <c r="R5" s="1498"/>
      <c r="S5" s="1498"/>
      <c r="T5" s="1498"/>
      <c r="U5" s="1498"/>
      <c r="V5" s="1498"/>
      <c r="W5" s="1498"/>
      <c r="X5" s="1498"/>
      <c r="Y5" s="1498"/>
      <c r="Z5" s="1498"/>
      <c r="AF5" s="17"/>
      <c r="AG5" s="17"/>
      <c r="AH5" s="17" t="s">
        <v>214</v>
      </c>
      <c r="AJ5"/>
      <c r="AK5"/>
      <c r="AL5"/>
      <c r="AM5"/>
      <c r="AN5"/>
      <c r="AP5" s="1520" t="s">
        <v>2281</v>
      </c>
      <c r="AQ5" s="712" t="s">
        <v>219</v>
      </c>
      <c r="AR5" s="712" t="s">
        <v>625</v>
      </c>
      <c r="AS5" s="712" t="s">
        <v>187</v>
      </c>
      <c r="AT5" s="712" t="s">
        <v>665</v>
      </c>
      <c r="AV5" s="1520" t="s">
        <v>2286</v>
      </c>
      <c r="AW5" s="712" t="s">
        <v>219</v>
      </c>
      <c r="AX5" s="712" t="s">
        <v>625</v>
      </c>
      <c r="AY5" s="712" t="s">
        <v>187</v>
      </c>
      <c r="AZ5" s="712" t="s">
        <v>665</v>
      </c>
    </row>
    <row r="6" spans="1:52" ht="12.75" customHeight="1" x14ac:dyDescent="0.2">
      <c r="A6" s="1164"/>
      <c r="B6" s="1164"/>
      <c r="C6" s="7" t="s">
        <v>993</v>
      </c>
      <c r="D6" s="2133" t="s">
        <v>2280</v>
      </c>
      <c r="E6" s="18">
        <v>8</v>
      </c>
      <c r="F6" s="1434">
        <v>6.5</v>
      </c>
      <c r="G6" s="1279" t="s">
        <v>218</v>
      </c>
      <c r="H6" s="1903">
        <f>SUM(H7:H10)</f>
        <v>42.6</v>
      </c>
      <c r="I6" s="1279" t="str">
        <f>LEFT(G6,LEN(G6)-3)</f>
        <v>T MS</v>
      </c>
      <c r="J6" s="1164"/>
      <c r="K6" s="1164"/>
      <c r="L6" s="1164"/>
      <c r="M6" s="1164"/>
      <c r="N6" s="3209"/>
      <c r="O6" s="3209"/>
      <c r="P6" s="1498"/>
      <c r="Q6" s="1498"/>
      <c r="R6" s="1498"/>
      <c r="S6" s="1498"/>
      <c r="T6" s="1498"/>
      <c r="U6" s="1498"/>
      <c r="V6" s="1498"/>
      <c r="W6" s="1498"/>
      <c r="X6" s="1498"/>
      <c r="Y6" s="1498"/>
      <c r="Z6" s="1498"/>
      <c r="AA6" s="1370">
        <f>IF(I6="T MS",H6,H6*0.085)</f>
        <v>42.6</v>
      </c>
      <c r="AD6" s="1709">
        <f>E6*F6</f>
        <v>52</v>
      </c>
      <c r="AF6" s="17"/>
      <c r="AG6" s="17"/>
      <c r="AH6" s="17"/>
      <c r="AJ6"/>
      <c r="AK6"/>
      <c r="AL6"/>
      <c r="AM6"/>
      <c r="AN6"/>
      <c r="AP6" s="1520" t="s">
        <v>2289</v>
      </c>
      <c r="AV6" s="1520" t="s">
        <v>2289</v>
      </c>
    </row>
    <row r="7" spans="1:52" x14ac:dyDescent="0.2">
      <c r="A7" s="1164"/>
      <c r="B7" s="1164"/>
      <c r="C7" s="1318" t="s">
        <v>971</v>
      </c>
      <c r="D7" s="2133"/>
      <c r="E7" s="18"/>
      <c r="F7" s="1434"/>
      <c r="G7" s="1279" t="s">
        <v>218</v>
      </c>
      <c r="H7" s="1903">
        <f>AD7*(1-AC7)</f>
        <v>0</v>
      </c>
      <c r="I7" s="1279" t="str">
        <f>LEFT(G7,LEN(G7)-3)</f>
        <v>T MS</v>
      </c>
      <c r="J7" s="1542">
        <f t="shared" ref="J7:L10" si="0">$H7*AI7</f>
        <v>0</v>
      </c>
      <c r="K7" s="1542">
        <f t="shared" si="0"/>
        <v>0</v>
      </c>
      <c r="L7" s="1542">
        <f t="shared" si="0"/>
        <v>0</v>
      </c>
      <c r="M7" s="1164"/>
      <c r="N7" s="3209"/>
      <c r="O7" s="3209"/>
      <c r="P7" s="1498"/>
      <c r="Q7" s="1498"/>
      <c r="R7" s="1498"/>
      <c r="S7" s="1498"/>
      <c r="T7" s="1498"/>
      <c r="U7" s="1498"/>
      <c r="V7" s="1498"/>
      <c r="W7" s="1498"/>
      <c r="X7" s="1498"/>
      <c r="Y7" s="1498"/>
      <c r="Z7" s="1498"/>
      <c r="AA7" s="1370">
        <f>IF(I7="T MS",H7,H7*0.085)</f>
        <v>0</v>
      </c>
      <c r="AC7" s="1707">
        <f>Paramètres!BD250</f>
        <v>0.1</v>
      </c>
      <c r="AD7" s="1709">
        <f>E7*F7</f>
        <v>0</v>
      </c>
      <c r="AF7" s="17"/>
      <c r="AG7" s="17"/>
      <c r="AH7" s="1319" t="s">
        <v>511</v>
      </c>
      <c r="AI7" s="1320">
        <f>Paramètres!BD6</f>
        <v>780</v>
      </c>
      <c r="AJ7" s="1320">
        <f>Paramètres!BE6</f>
        <v>24</v>
      </c>
      <c r="AK7" s="1320">
        <f>Paramètres!BF6</f>
        <v>8</v>
      </c>
      <c r="AL7" s="1320">
        <f>Paramètres!BG6</f>
        <v>30</v>
      </c>
      <c r="AM7"/>
      <c r="AN7" s="1337">
        <f>AL7*H7</f>
        <v>0</v>
      </c>
      <c r="AP7" s="1520" t="s">
        <v>2282</v>
      </c>
      <c r="AQ7" s="1420">
        <f>Paramètres!BD7</f>
        <v>820</v>
      </c>
      <c r="AR7" s="1420">
        <f>Paramètres!BE7</f>
        <v>21</v>
      </c>
      <c r="AS7" s="1420">
        <f>Paramètres!BF7</f>
        <v>6</v>
      </c>
      <c r="AT7" s="1420">
        <f>Paramètres!BG7</f>
        <v>30</v>
      </c>
      <c r="AV7" s="1520" t="s">
        <v>2282</v>
      </c>
      <c r="AW7" s="1420">
        <f>Paramètres!BD11</f>
        <v>800</v>
      </c>
      <c r="AX7" s="1420">
        <f>Paramètres!BE11</f>
        <v>26</v>
      </c>
      <c r="AY7" s="1420">
        <f>Paramètres!BF11</f>
        <v>6.5</v>
      </c>
      <c r="AZ7" s="1420">
        <f>Paramètres!BG11</f>
        <v>35</v>
      </c>
    </row>
    <row r="8" spans="1:52" x14ac:dyDescent="0.2">
      <c r="A8" s="1164"/>
      <c r="B8" s="1164"/>
      <c r="C8" s="1318" t="s">
        <v>2276</v>
      </c>
      <c r="D8" s="18" t="s">
        <v>2283</v>
      </c>
      <c r="E8" s="18">
        <v>4</v>
      </c>
      <c r="F8" s="1434">
        <v>3</v>
      </c>
      <c r="G8" s="1279" t="s">
        <v>218</v>
      </c>
      <c r="H8" s="1903">
        <f>AD8*(1-AC8)</f>
        <v>10.199999999999999</v>
      </c>
      <c r="I8" s="1279" t="str">
        <f>LEFT(G8,LEN(G8)-3)</f>
        <v>T MS</v>
      </c>
      <c r="J8" s="1542">
        <f t="shared" ref="J8:L9" si="1">IF(ISBLANK($D8),0,$H8*AI8)</f>
        <v>7649.9999999999991</v>
      </c>
      <c r="K8" s="1542">
        <f t="shared" si="1"/>
        <v>173.39999999999998</v>
      </c>
      <c r="L8" s="1542">
        <f t="shared" si="1"/>
        <v>56.099999999999994</v>
      </c>
      <c r="M8" s="1164"/>
      <c r="N8" s="3209"/>
      <c r="O8" s="3209"/>
      <c r="P8" s="1498"/>
      <c r="Q8" s="1498"/>
      <c r="R8" s="1498"/>
      <c r="S8" s="1498"/>
      <c r="T8" s="1498"/>
      <c r="U8" s="1498"/>
      <c r="V8" s="1498"/>
      <c r="W8" s="1498"/>
      <c r="X8" s="1498"/>
      <c r="Y8" s="1498"/>
      <c r="Z8" s="1498"/>
      <c r="AA8" s="1370">
        <f>IF(I8="T MS",H8,H8*0.085)</f>
        <v>10.199999999999999</v>
      </c>
      <c r="AC8" s="1707">
        <f>Paramètres!BD251</f>
        <v>0.15</v>
      </c>
      <c r="AD8" s="1709">
        <f>E8*F8</f>
        <v>12</v>
      </c>
      <c r="AF8" s="17"/>
      <c r="AG8" s="17"/>
      <c r="AH8" s="1319" t="s">
        <v>2274</v>
      </c>
      <c r="AI8" s="2135">
        <f>IF(ISBLANK($D8),0,VLOOKUP($D8,$AP$7:$AT$10,2,FALSE))</f>
        <v>750</v>
      </c>
      <c r="AJ8" s="2135">
        <f>IF(ISBLANK($D8),0,VLOOKUP($D8,$AP$7:$AT$10,3,FALSE))</f>
        <v>17</v>
      </c>
      <c r="AK8" s="2135">
        <f>IF(ISBLANK($D8),0,VLOOKUP($D8,$AP$7:$AT$10,4,FALSE))</f>
        <v>5.5</v>
      </c>
      <c r="AL8" s="2135">
        <f>IF(ISBLANK($D8),0,VLOOKUP($D8,$AP$7:$AT$10,5,FALSE))</f>
        <v>25</v>
      </c>
      <c r="AM8"/>
      <c r="AN8" s="1337">
        <f>AL8*H8</f>
        <v>254.99999999999997</v>
      </c>
      <c r="AP8" s="1520" t="s">
        <v>2283</v>
      </c>
      <c r="AQ8" s="1420">
        <f>Paramètres!BD8</f>
        <v>750</v>
      </c>
      <c r="AR8" s="1420">
        <f>Paramètres!BE8</f>
        <v>17</v>
      </c>
      <c r="AS8" s="1420">
        <f>Paramètres!BF8</f>
        <v>5.5</v>
      </c>
      <c r="AT8" s="1420">
        <f>Paramètres!BG8</f>
        <v>25</v>
      </c>
      <c r="AV8" s="1520" t="s">
        <v>2287</v>
      </c>
      <c r="AW8" s="1420">
        <f>Paramètres!BD12</f>
        <v>750</v>
      </c>
      <c r="AX8" s="1420">
        <f>Paramètres!BE12</f>
        <v>23</v>
      </c>
      <c r="AY8" s="1420">
        <f>Paramètres!BF12</f>
        <v>5.5</v>
      </c>
      <c r="AZ8" s="1420">
        <f>Paramètres!BG12</f>
        <v>30</v>
      </c>
    </row>
    <row r="9" spans="1:52" x14ac:dyDescent="0.2">
      <c r="A9" s="1164"/>
      <c r="B9" s="1164"/>
      <c r="C9" s="1318" t="s">
        <v>2277</v>
      </c>
      <c r="D9" s="18" t="s">
        <v>2287</v>
      </c>
      <c r="E9" s="18">
        <v>4</v>
      </c>
      <c r="F9" s="1434">
        <v>2</v>
      </c>
      <c r="G9" s="1279" t="s">
        <v>218</v>
      </c>
      <c r="H9" s="1903">
        <f>AD9*(1-AC9)</f>
        <v>6.8</v>
      </c>
      <c r="I9" s="1279" t="str">
        <f>LEFT(G9,LEN(G9)-3)</f>
        <v>T MS</v>
      </c>
      <c r="J9" s="1542">
        <f t="shared" si="1"/>
        <v>5100</v>
      </c>
      <c r="K9" s="1542">
        <f t="shared" si="1"/>
        <v>156.4</v>
      </c>
      <c r="L9" s="1542">
        <f t="shared" si="1"/>
        <v>37.4</v>
      </c>
      <c r="M9" s="1164"/>
      <c r="N9" s="3209"/>
      <c r="O9" s="3209"/>
      <c r="P9" s="1498"/>
      <c r="Q9" s="1498"/>
      <c r="R9" s="1498"/>
      <c r="S9" s="1498"/>
      <c r="T9" s="1498"/>
      <c r="U9" s="1498"/>
      <c r="V9" s="1498"/>
      <c r="W9" s="1498"/>
      <c r="X9" s="1498"/>
      <c r="Y9" s="1498"/>
      <c r="Z9" s="1498"/>
      <c r="AA9" s="1370">
        <f>IF(I9="T MS",H9,H9*0.085)</f>
        <v>6.8</v>
      </c>
      <c r="AC9" s="1707">
        <f>Paramètres!BD252</f>
        <v>0.15</v>
      </c>
      <c r="AD9" s="1709">
        <f>E9*F9</f>
        <v>8</v>
      </c>
      <c r="AF9" s="17"/>
      <c r="AG9" s="17"/>
      <c r="AH9" s="1319" t="s">
        <v>2275</v>
      </c>
      <c r="AI9" s="2135">
        <f>IF(ISBLANK($D9),0,VLOOKUP($D9,$AV$7:$AZ$9,2,FALSE))</f>
        <v>750</v>
      </c>
      <c r="AJ9" s="2135">
        <f>IF(ISBLANK($D9),0,VLOOKUP($D9,$AV$7:$AZ$9,3,FALSE))</f>
        <v>23</v>
      </c>
      <c r="AK9" s="2135">
        <f>IF(ISBLANK($D9),0,VLOOKUP($D9,$AV$7:$AZ$9,4,FALSE))</f>
        <v>5.5</v>
      </c>
      <c r="AL9" s="2135">
        <f>IF(ISBLANK($D9),0,VLOOKUP($D9,$AV$7:$AZ$9,5,FALSE))</f>
        <v>30</v>
      </c>
      <c r="AM9"/>
      <c r="AN9" s="1337">
        <f>AL9*H9</f>
        <v>204</v>
      </c>
      <c r="AP9" s="1520" t="s">
        <v>2284</v>
      </c>
      <c r="AQ9" s="1420">
        <f>Paramètres!BD9</f>
        <v>650</v>
      </c>
      <c r="AR9" s="1420">
        <f>Paramètres!BE9</f>
        <v>15</v>
      </c>
      <c r="AS9" s="1420">
        <f>Paramètres!BF9</f>
        <v>5</v>
      </c>
      <c r="AT9" s="1420">
        <f>Paramètres!BG9</f>
        <v>20</v>
      </c>
      <c r="AV9" s="1520" t="s">
        <v>2288</v>
      </c>
      <c r="AW9" s="1420">
        <f>Paramètres!BD13</f>
        <v>700</v>
      </c>
      <c r="AX9" s="1420">
        <f>Paramètres!BE13</f>
        <v>20</v>
      </c>
      <c r="AY9" s="1420">
        <f>Paramètres!BF13</f>
        <v>5</v>
      </c>
      <c r="AZ9" s="1420">
        <f>Paramètres!BG13</f>
        <v>25</v>
      </c>
    </row>
    <row r="10" spans="1:52" x14ac:dyDescent="0.2">
      <c r="A10" s="1164"/>
      <c r="B10" s="1164"/>
      <c r="C10" s="1318" t="s">
        <v>972</v>
      </c>
      <c r="D10" s="1321"/>
      <c r="E10" s="1321"/>
      <c r="F10" s="1321"/>
      <c r="G10" s="1279"/>
      <c r="H10" s="1903">
        <f>AD10*(1-AC10)</f>
        <v>25.6</v>
      </c>
      <c r="I10" s="1279" t="str">
        <f>I8</f>
        <v>T MS</v>
      </c>
      <c r="J10" s="1542">
        <f t="shared" si="0"/>
        <v>20480</v>
      </c>
      <c r="K10" s="1542">
        <f t="shared" si="0"/>
        <v>614.40000000000009</v>
      </c>
      <c r="L10" s="1542">
        <f t="shared" si="0"/>
        <v>217.60000000000002</v>
      </c>
      <c r="M10" s="1164"/>
      <c r="N10" s="3209"/>
      <c r="O10" s="3209"/>
      <c r="P10" s="1498"/>
      <c r="Q10" s="1498"/>
      <c r="R10" s="1498"/>
      <c r="S10" s="1498"/>
      <c r="T10" s="1498"/>
      <c r="U10" s="1498"/>
      <c r="V10" s="1498"/>
      <c r="W10" s="1498"/>
      <c r="X10" s="1498"/>
      <c r="Y10" s="1498"/>
      <c r="Z10" s="1498"/>
      <c r="AA10" s="1370">
        <f>IF(I10="T MS",H10,H10*0.085)</f>
        <v>25.6</v>
      </c>
      <c r="AC10" s="1707">
        <f>Paramètres!BD253</f>
        <v>0.2</v>
      </c>
      <c r="AD10" s="1709">
        <f>AD6-AD7-AD8-AD9</f>
        <v>32</v>
      </c>
      <c r="AF10" s="17"/>
      <c r="AG10" s="17"/>
      <c r="AH10" s="1319" t="s">
        <v>512</v>
      </c>
      <c r="AI10" s="1320">
        <f>Paramètres!BD14</f>
        <v>800</v>
      </c>
      <c r="AJ10" s="1320">
        <f>Paramètres!BE14</f>
        <v>24</v>
      </c>
      <c r="AK10" s="1320">
        <f>Paramètres!BF14</f>
        <v>8.5</v>
      </c>
      <c r="AL10" s="1320">
        <f>Paramètres!BG14</f>
        <v>35</v>
      </c>
      <c r="AM10"/>
      <c r="AN10" s="1337">
        <f>AL10*H10</f>
        <v>896</v>
      </c>
      <c r="AP10" s="1520" t="s">
        <v>2285</v>
      </c>
      <c r="AQ10" s="1420">
        <f>Paramètres!BD10</f>
        <v>750</v>
      </c>
      <c r="AR10" s="1420">
        <f>Paramètres!BE10</f>
        <v>18</v>
      </c>
      <c r="AS10" s="1420">
        <f>Paramètres!BF10</f>
        <v>5</v>
      </c>
      <c r="AT10" s="1420">
        <f>Paramètres!BG10</f>
        <v>25</v>
      </c>
    </row>
    <row r="11" spans="1:52" ht="5.0999999999999996" customHeight="1" x14ac:dyDescent="0.2">
      <c r="A11" s="1164"/>
      <c r="B11" s="1164"/>
      <c r="C11" s="1318"/>
      <c r="D11" s="1164"/>
      <c r="E11" s="1164"/>
      <c r="F11" s="1164"/>
      <c r="G11" s="1279"/>
      <c r="H11" s="1904"/>
      <c r="I11" s="1263"/>
      <c r="J11" s="1543"/>
      <c r="K11" s="1543"/>
      <c r="L11" s="1543"/>
      <c r="M11" s="1164"/>
      <c r="N11" s="1498"/>
      <c r="O11" s="1498"/>
      <c r="P11" s="1498"/>
      <c r="Q11" s="1498"/>
      <c r="R11" s="1498"/>
      <c r="S11" s="1498"/>
      <c r="T11" s="1498"/>
      <c r="U11" s="1498"/>
      <c r="V11" s="1498"/>
      <c r="W11" s="1498"/>
      <c r="X11" s="1498"/>
      <c r="Y11" s="1498"/>
      <c r="Z11" s="1498"/>
      <c r="AF11" s="17"/>
      <c r="AG11" s="17"/>
      <c r="AH11" s="17"/>
      <c r="AJ11"/>
      <c r="AK11"/>
      <c r="AL11"/>
      <c r="AM11"/>
      <c r="AN11"/>
    </row>
    <row r="12" spans="1:52" x14ac:dyDescent="0.2">
      <c r="A12" s="1164"/>
      <c r="B12" s="1164"/>
      <c r="C12" s="6" t="s">
        <v>51</v>
      </c>
      <c r="D12" s="1164"/>
      <c r="E12" s="1164"/>
      <c r="F12" s="1164"/>
      <c r="G12" s="1279"/>
      <c r="H12" s="1904"/>
      <c r="I12" s="1263"/>
      <c r="J12" s="1543"/>
      <c r="K12" s="1543"/>
      <c r="L12" s="1543"/>
      <c r="M12" s="1164"/>
      <c r="N12" s="1498"/>
      <c r="O12" s="1498"/>
      <c r="P12" s="1498"/>
      <c r="Q12" s="1498"/>
      <c r="R12" s="1498"/>
      <c r="S12" s="1498"/>
      <c r="T12" s="1498"/>
      <c r="U12" s="1498"/>
      <c r="V12" s="1498"/>
      <c r="W12" s="1498"/>
      <c r="X12" s="1498"/>
      <c r="Y12" s="1498"/>
      <c r="Z12" s="1498"/>
      <c r="AF12" s="17"/>
      <c r="AG12" s="17"/>
      <c r="AH12" s="17" t="s">
        <v>51</v>
      </c>
      <c r="AI12" s="630"/>
      <c r="AJ12" s="630"/>
      <c r="AK12" s="630"/>
      <c r="AL12" s="630"/>
      <c r="AM12"/>
      <c r="AN12"/>
      <c r="AP12" s="1520" t="s">
        <v>2290</v>
      </c>
      <c r="AV12" s="1520" t="s">
        <v>2290</v>
      </c>
    </row>
    <row r="13" spans="1:52" x14ac:dyDescent="0.2">
      <c r="A13" s="1164"/>
      <c r="B13" s="1164"/>
      <c r="C13" s="7" t="s">
        <v>993</v>
      </c>
      <c r="D13" s="1321"/>
      <c r="E13" s="18">
        <v>27</v>
      </c>
      <c r="F13" s="1434">
        <v>8.5</v>
      </c>
      <c r="G13" s="1279" t="s">
        <v>218</v>
      </c>
      <c r="H13" s="1903">
        <f>SUM(H14:H17)</f>
        <v>188.08</v>
      </c>
      <c r="I13" s="1279" t="str">
        <f>LEFT(G13,LEN(G13)-3)</f>
        <v>T MS</v>
      </c>
      <c r="J13" s="1306"/>
      <c r="K13" s="1306"/>
      <c r="L13" s="1306"/>
      <c r="M13" s="1164"/>
      <c r="N13" s="1498"/>
      <c r="O13" s="1498"/>
      <c r="P13" s="1498"/>
      <c r="Q13" s="1498"/>
      <c r="R13" s="1498"/>
      <c r="S13" s="1498"/>
      <c r="T13" s="1498"/>
      <c r="U13" s="1498"/>
      <c r="V13" s="1498"/>
      <c r="W13" s="1498"/>
      <c r="X13" s="1498"/>
      <c r="Y13" s="1498"/>
      <c r="Z13" s="1498"/>
      <c r="AA13" s="1370">
        <f>IF(I13="T MS",H13,H13*0.085)</f>
        <v>188.08</v>
      </c>
      <c r="AD13" s="1709">
        <f>E13*F13</f>
        <v>229.5</v>
      </c>
      <c r="AF13" s="17"/>
      <c r="AG13" s="17"/>
      <c r="AH13" s="17"/>
      <c r="AI13" s="630"/>
      <c r="AJ13" s="630"/>
      <c r="AK13" s="630"/>
      <c r="AL13" s="630"/>
      <c r="AM13"/>
      <c r="AN13"/>
      <c r="AP13" s="1520" t="s">
        <v>2282</v>
      </c>
      <c r="AQ13" s="1420">
        <f>Paramètres!BD17</f>
        <v>850</v>
      </c>
      <c r="AR13" s="1420">
        <f>Paramètres!BE17</f>
        <v>23</v>
      </c>
      <c r="AS13" s="1420">
        <f>Paramètres!BF17</f>
        <v>6</v>
      </c>
      <c r="AT13" s="1420">
        <f>Paramètres!BG17</f>
        <v>40</v>
      </c>
      <c r="AV13" s="1520" t="s">
        <v>2282</v>
      </c>
      <c r="AW13" s="1420">
        <f>Paramètres!BD21</f>
        <v>820</v>
      </c>
      <c r="AX13" s="1420">
        <f>Paramètres!BE21</f>
        <v>24</v>
      </c>
      <c r="AY13" s="1420">
        <f>Paramètres!BF21</f>
        <v>6</v>
      </c>
      <c r="AZ13" s="1420">
        <f>Paramètres!BG21</f>
        <v>35</v>
      </c>
    </row>
    <row r="14" spans="1:52" x14ac:dyDescent="0.2">
      <c r="A14" s="1164"/>
      <c r="B14" s="1164"/>
      <c r="C14" s="1318" t="s">
        <v>971</v>
      </c>
      <c r="D14" s="1321"/>
      <c r="E14" s="18"/>
      <c r="F14" s="1434"/>
      <c r="G14" s="1279" t="s">
        <v>218</v>
      </c>
      <c r="H14" s="1903">
        <f>AD14*(1-AC14)</f>
        <v>0</v>
      </c>
      <c r="I14" s="1279" t="str">
        <f>LEFT(G14,LEN(G14)-3)</f>
        <v>T MS</v>
      </c>
      <c r="J14" s="1542">
        <f t="shared" ref="J14:L17" si="2">$H14*AI14</f>
        <v>0</v>
      </c>
      <c r="K14" s="1542">
        <f t="shared" si="2"/>
        <v>0</v>
      </c>
      <c r="L14" s="1542">
        <f t="shared" si="2"/>
        <v>0</v>
      </c>
      <c r="M14" s="1164"/>
      <c r="N14" s="1498"/>
      <c r="O14" s="1498"/>
      <c r="P14" s="1498"/>
      <c r="Q14" s="1498"/>
      <c r="R14" s="1498"/>
      <c r="S14" s="1498"/>
      <c r="T14" s="1498"/>
      <c r="U14" s="1498"/>
      <c r="V14" s="1498"/>
      <c r="W14" s="1498"/>
      <c r="X14" s="1498"/>
      <c r="Y14" s="1498"/>
      <c r="Z14" s="1498"/>
      <c r="AA14" s="1370">
        <f>IF(I14="T MS",H14,H14*0.085)</f>
        <v>0</v>
      </c>
      <c r="AC14" s="1707">
        <f>Paramètres!BD256</f>
        <v>0.1</v>
      </c>
      <c r="AD14" s="1709">
        <f>E14*F14</f>
        <v>0</v>
      </c>
      <c r="AF14" s="17"/>
      <c r="AG14" s="17"/>
      <c r="AH14" s="1319" t="s">
        <v>511</v>
      </c>
      <c r="AI14" s="1320">
        <f>Paramètres!BD16</f>
        <v>800</v>
      </c>
      <c r="AJ14" s="1320">
        <f>Paramètres!BE16</f>
        <v>26</v>
      </c>
      <c r="AK14" s="1320">
        <f>Paramètres!BF16</f>
        <v>6.5</v>
      </c>
      <c r="AL14" s="1320">
        <f>Paramètres!BG16</f>
        <v>35</v>
      </c>
      <c r="AM14"/>
      <c r="AN14" s="1337">
        <f>AL14*H14</f>
        <v>0</v>
      </c>
      <c r="AP14" s="1520" t="s">
        <v>2283</v>
      </c>
      <c r="AQ14" s="1420">
        <f>Paramètres!BD18</f>
        <v>750</v>
      </c>
      <c r="AR14" s="1420">
        <f>Paramètres!BE18</f>
        <v>22</v>
      </c>
      <c r="AS14" s="1420">
        <f>Paramètres!BF18</f>
        <v>5.5</v>
      </c>
      <c r="AT14" s="1420">
        <f>Paramètres!BG18</f>
        <v>30</v>
      </c>
      <c r="AV14" s="1520" t="s">
        <v>2287</v>
      </c>
      <c r="AW14" s="1420">
        <f>Paramètres!BD22</f>
        <v>750</v>
      </c>
      <c r="AX14" s="1420">
        <f>Paramètres!BE22</f>
        <v>21</v>
      </c>
      <c r="AY14" s="1420">
        <f>Paramètres!BF22</f>
        <v>5.5</v>
      </c>
      <c r="AZ14" s="1420">
        <f>Paramètres!BG22</f>
        <v>30</v>
      </c>
    </row>
    <row r="15" spans="1:52" x14ac:dyDescent="0.2">
      <c r="A15" s="1164"/>
      <c r="B15" s="1164"/>
      <c r="C15" s="1318" t="s">
        <v>2276</v>
      </c>
      <c r="D15" s="18" t="s">
        <v>2283</v>
      </c>
      <c r="E15" s="18">
        <v>13</v>
      </c>
      <c r="F15" s="1434">
        <v>4.2</v>
      </c>
      <c r="G15" s="1279" t="s">
        <v>218</v>
      </c>
      <c r="H15" s="1903">
        <f>AD15*(1-AC15)</f>
        <v>46.41</v>
      </c>
      <c r="I15" s="1279" t="str">
        <f>LEFT(G15,LEN(G15)-3)</f>
        <v>T MS</v>
      </c>
      <c r="J15" s="1542">
        <f t="shared" ref="J15:L16" si="3">IF(ISBLANK($D15),0,$H15*AI15)</f>
        <v>34807.5</v>
      </c>
      <c r="K15" s="1542">
        <f t="shared" si="3"/>
        <v>1021.02</v>
      </c>
      <c r="L15" s="1542">
        <f t="shared" si="3"/>
        <v>255.255</v>
      </c>
      <c r="M15" s="1164"/>
      <c r="N15" s="1498"/>
      <c r="O15" s="1498"/>
      <c r="P15" s="1498"/>
      <c r="Q15" s="1498"/>
      <c r="R15" s="1498"/>
      <c r="S15" s="1498"/>
      <c r="T15" s="1498"/>
      <c r="U15" s="1498"/>
      <c r="V15" s="1498"/>
      <c r="W15" s="1498"/>
      <c r="X15" s="1498"/>
      <c r="Y15" s="1498"/>
      <c r="Z15" s="1498"/>
      <c r="AA15" s="1370">
        <f>IF(I15="T MS",H15,H15*0.085)</f>
        <v>46.41</v>
      </c>
      <c r="AC15" s="1707">
        <f>Paramètres!BD257</f>
        <v>0.15</v>
      </c>
      <c r="AD15" s="1709">
        <f>E15*F15</f>
        <v>54.6</v>
      </c>
      <c r="AF15" s="17"/>
      <c r="AG15" s="17"/>
      <c r="AH15" s="1319" t="s">
        <v>2274</v>
      </c>
      <c r="AI15" s="2135">
        <f>IF(ISBLANK($D15),0,VLOOKUP($D15,$AP$13:$AT$16,2,FALSE))</f>
        <v>750</v>
      </c>
      <c r="AJ15" s="2135">
        <f>IF(ISBLANK($D15),0,VLOOKUP($D15,$AP$13:$AT$16,3,FALSE))</f>
        <v>22</v>
      </c>
      <c r="AK15" s="2135">
        <f>IF(ISBLANK($D15),0,VLOOKUP($D15,$AP$13:$AT$16,4,FALSE))</f>
        <v>5.5</v>
      </c>
      <c r="AL15" s="2135">
        <f>IF(ISBLANK($D15),0,VLOOKUP($D15,$AP$13:$AT$16,5,FALSE))</f>
        <v>30</v>
      </c>
      <c r="AM15"/>
      <c r="AN15" s="1337">
        <f>AL15*H15</f>
        <v>1392.3</v>
      </c>
      <c r="AP15" s="1520" t="s">
        <v>2284</v>
      </c>
      <c r="AQ15" s="1420">
        <f>Paramètres!BD19</f>
        <v>720</v>
      </c>
      <c r="AR15" s="1420">
        <f>Paramètres!BE19</f>
        <v>17</v>
      </c>
      <c r="AS15" s="1420">
        <f>Paramètres!BF19</f>
        <v>5</v>
      </c>
      <c r="AT15" s="1420">
        <f>Paramètres!BG19</f>
        <v>25</v>
      </c>
      <c r="AV15" s="1520" t="s">
        <v>2288</v>
      </c>
      <c r="AW15" s="1420">
        <f>Paramètres!BD23</f>
        <v>710</v>
      </c>
      <c r="AX15" s="1420">
        <f>Paramètres!BE23</f>
        <v>18</v>
      </c>
      <c r="AY15" s="1420">
        <f>Paramètres!BF23</f>
        <v>5</v>
      </c>
      <c r="AZ15" s="1420">
        <f>Paramètres!BG23</f>
        <v>20</v>
      </c>
    </row>
    <row r="16" spans="1:52" x14ac:dyDescent="0.2">
      <c r="A16" s="1164"/>
      <c r="B16" s="1164"/>
      <c r="C16" s="1318" t="s">
        <v>2277</v>
      </c>
      <c r="D16" s="18" t="s">
        <v>2288</v>
      </c>
      <c r="E16" s="18">
        <v>10</v>
      </c>
      <c r="F16" s="1434">
        <v>3.5</v>
      </c>
      <c r="G16" s="1279" t="s">
        <v>218</v>
      </c>
      <c r="H16" s="1903">
        <f>AD16*(1-AC16)</f>
        <v>29.75</v>
      </c>
      <c r="I16" s="1279" t="str">
        <f>LEFT(G16,LEN(G16)-3)</f>
        <v>T MS</v>
      </c>
      <c r="J16" s="1542">
        <f t="shared" si="3"/>
        <v>21122.5</v>
      </c>
      <c r="K16" s="1542">
        <f t="shared" si="3"/>
        <v>535.5</v>
      </c>
      <c r="L16" s="1542">
        <f t="shared" si="3"/>
        <v>148.75</v>
      </c>
      <c r="M16" s="1164"/>
      <c r="N16" s="1498"/>
      <c r="O16" s="1498"/>
      <c r="P16" s="1498"/>
      <c r="Q16" s="1498"/>
      <c r="R16" s="1498"/>
      <c r="S16" s="1498"/>
      <c r="T16" s="1498"/>
      <c r="U16" s="1498"/>
      <c r="V16" s="1498"/>
      <c r="W16" s="1498"/>
      <c r="X16" s="1498"/>
      <c r="Y16" s="1498"/>
      <c r="Z16" s="1498"/>
      <c r="AA16" s="1370">
        <f>IF(I16="T MS",H16,H16*0.085)</f>
        <v>29.75</v>
      </c>
      <c r="AC16" s="1707">
        <f>Paramètres!BD258</f>
        <v>0.15</v>
      </c>
      <c r="AD16" s="1709">
        <f>E16*F16</f>
        <v>35</v>
      </c>
      <c r="AF16" s="17"/>
      <c r="AG16" s="17"/>
      <c r="AH16" s="1319" t="s">
        <v>2275</v>
      </c>
      <c r="AI16" s="2135">
        <f>IF(ISBLANK($D16),0,VLOOKUP($D16,$AV$13:$AZ$15,2,FALSE))</f>
        <v>710</v>
      </c>
      <c r="AJ16" s="2135">
        <f>IF(ISBLANK($D16),0,VLOOKUP($D16,$AV$13:$AZ$15,3,FALSE))</f>
        <v>18</v>
      </c>
      <c r="AK16" s="2135">
        <f>IF(ISBLANK($D16),0,VLOOKUP($D16,$AV$13:$AZ$15,4,FALSE))</f>
        <v>5</v>
      </c>
      <c r="AL16" s="2135">
        <f>IF(ISBLANK($D16),0,VLOOKUP($D16,$AV$13:$AZ$15,5,FALSE))</f>
        <v>20</v>
      </c>
      <c r="AM16"/>
      <c r="AN16" s="1337">
        <f>AL16*H16</f>
        <v>595</v>
      </c>
      <c r="AP16" s="1520" t="s">
        <v>2285</v>
      </c>
      <c r="AQ16" s="1420">
        <f>Paramètres!BD20</f>
        <v>800</v>
      </c>
      <c r="AR16" s="1420">
        <f>Paramètres!BE20</f>
        <v>22</v>
      </c>
      <c r="AS16" s="1420">
        <f>Paramètres!BF20</f>
        <v>5.5</v>
      </c>
      <c r="AT16" s="1420">
        <f>Paramètres!BG20</f>
        <v>30</v>
      </c>
    </row>
    <row r="17" spans="1:52" x14ac:dyDescent="0.2">
      <c r="A17" s="1164"/>
      <c r="B17" s="1164"/>
      <c r="C17" s="1318" t="s">
        <v>972</v>
      </c>
      <c r="D17" s="1321"/>
      <c r="E17" s="1321"/>
      <c r="F17" s="1321"/>
      <c r="G17" s="1279"/>
      <c r="H17" s="1903">
        <f>AD17*(1-AC17)</f>
        <v>111.92000000000002</v>
      </c>
      <c r="I17" s="1279" t="str">
        <f>I15</f>
        <v>T MS</v>
      </c>
      <c r="J17" s="1542">
        <f t="shared" si="2"/>
        <v>92893.60000000002</v>
      </c>
      <c r="K17" s="1542">
        <f t="shared" si="2"/>
        <v>2798.0000000000005</v>
      </c>
      <c r="L17" s="1542">
        <f t="shared" si="2"/>
        <v>895.36000000000013</v>
      </c>
      <c r="M17" s="1164"/>
      <c r="N17" s="1498"/>
      <c r="O17" s="1498"/>
      <c r="P17" s="1498"/>
      <c r="Q17" s="1498"/>
      <c r="R17" s="1498"/>
      <c r="S17" s="1498"/>
      <c r="T17" s="1498"/>
      <c r="U17" s="1498"/>
      <c r="V17" s="1498"/>
      <c r="W17" s="1498"/>
      <c r="X17" s="1498"/>
      <c r="Y17" s="1498"/>
      <c r="Z17" s="1498"/>
      <c r="AA17" s="1370">
        <f>IF(I17="T MS",H17,H17*0.085)</f>
        <v>111.92000000000002</v>
      </c>
      <c r="AC17" s="1707">
        <f>Paramètres!BD259</f>
        <v>0.2</v>
      </c>
      <c r="AD17" s="1709">
        <f>AD13-AD14-AD15-AD16</f>
        <v>139.9</v>
      </c>
      <c r="AF17" s="17"/>
      <c r="AG17" s="17"/>
      <c r="AH17" s="1319" t="s">
        <v>512</v>
      </c>
      <c r="AI17" s="1320">
        <f>Paramètres!BD24</f>
        <v>830</v>
      </c>
      <c r="AJ17" s="1320">
        <f>Paramètres!BE24</f>
        <v>25</v>
      </c>
      <c r="AK17" s="1320">
        <f>Paramètres!BF24</f>
        <v>8</v>
      </c>
      <c r="AL17" s="1320">
        <f>Paramètres!BG24</f>
        <v>42</v>
      </c>
      <c r="AM17"/>
      <c r="AN17" s="1337">
        <f>AL17*H17</f>
        <v>4700.6400000000003</v>
      </c>
    </row>
    <row r="18" spans="1:52" ht="5.0999999999999996" customHeight="1" x14ac:dyDescent="0.2">
      <c r="A18" s="1164"/>
      <c r="B18" s="1164"/>
      <c r="C18" s="7"/>
      <c r="D18" s="1164"/>
      <c r="E18" s="1164"/>
      <c r="F18" s="1164"/>
      <c r="G18" s="1279"/>
      <c r="H18" s="1904"/>
      <c r="I18" s="1263"/>
      <c r="J18" s="1543"/>
      <c r="K18" s="1543"/>
      <c r="L18" s="1543"/>
      <c r="M18" s="1164"/>
      <c r="N18" s="1498"/>
      <c r="O18" s="1498"/>
      <c r="P18" s="1498"/>
      <c r="Q18" s="1498"/>
      <c r="R18" s="1498"/>
      <c r="S18" s="1498"/>
      <c r="T18" s="1498"/>
      <c r="U18" s="1498"/>
      <c r="V18" s="1498"/>
      <c r="W18" s="1498"/>
      <c r="X18" s="1498"/>
      <c r="Y18" s="1498"/>
      <c r="Z18" s="1498"/>
      <c r="AF18" s="17"/>
      <c r="AG18" s="17"/>
      <c r="AH18" s="17"/>
      <c r="AJ18"/>
      <c r="AK18"/>
      <c r="AL18"/>
      <c r="AM18"/>
      <c r="AN18"/>
    </row>
    <row r="19" spans="1:52" x14ac:dyDescent="0.2">
      <c r="A19" s="1164"/>
      <c r="B19" s="1164"/>
      <c r="C19" s="6" t="s">
        <v>52</v>
      </c>
      <c r="D19" s="1164"/>
      <c r="E19" s="1164"/>
      <c r="F19" s="1164"/>
      <c r="G19" s="1279"/>
      <c r="H19" s="1904"/>
      <c r="I19" s="1263"/>
      <c r="J19" s="1543"/>
      <c r="K19" s="1543"/>
      <c r="L19" s="1543"/>
      <c r="M19" s="1164"/>
      <c r="N19" s="1498"/>
      <c r="O19" s="1498"/>
      <c r="P19" s="1498"/>
      <c r="Q19" s="1498"/>
      <c r="R19" s="1498"/>
      <c r="S19" s="1498"/>
      <c r="T19" s="1498"/>
      <c r="U19" s="1498"/>
      <c r="V19" s="1498"/>
      <c r="W19" s="1498"/>
      <c r="X19" s="1498"/>
      <c r="Y19" s="1498"/>
      <c r="Z19" s="1498"/>
      <c r="AF19" s="17"/>
      <c r="AG19" s="17"/>
      <c r="AH19" s="17" t="s">
        <v>52</v>
      </c>
      <c r="AI19" s="630"/>
      <c r="AJ19" s="630"/>
      <c r="AK19" s="630"/>
      <c r="AL19" s="630"/>
      <c r="AM19"/>
      <c r="AN19"/>
      <c r="AP19" s="1520" t="s">
        <v>2291</v>
      </c>
      <c r="AV19" s="1520" t="s">
        <v>2291</v>
      </c>
    </row>
    <row r="20" spans="1:52" x14ac:dyDescent="0.2">
      <c r="A20" s="1164"/>
      <c r="B20" s="1164"/>
      <c r="C20" s="7" t="s">
        <v>993</v>
      </c>
      <c r="D20" s="1321"/>
      <c r="E20" s="18">
        <v>30</v>
      </c>
      <c r="F20" s="1434">
        <v>8</v>
      </c>
      <c r="G20" s="1279" t="s">
        <v>218</v>
      </c>
      <c r="H20" s="1903">
        <f>SUM(H21:H24)</f>
        <v>196.875</v>
      </c>
      <c r="I20" s="1279" t="str">
        <f>LEFT(G20,LEN(G20)-3)</f>
        <v>T MS</v>
      </c>
      <c r="J20" s="1306"/>
      <c r="K20" s="1306"/>
      <c r="L20" s="1306"/>
      <c r="M20" s="1164"/>
      <c r="N20" s="1498"/>
      <c r="O20" s="1498"/>
      <c r="P20" s="1498"/>
      <c r="Q20" s="1498"/>
      <c r="R20" s="1498"/>
      <c r="S20" s="1498"/>
      <c r="T20" s="1498"/>
      <c r="U20" s="1498"/>
      <c r="V20" s="1498"/>
      <c r="W20" s="1498"/>
      <c r="X20" s="1498"/>
      <c r="Y20" s="1498"/>
      <c r="Z20" s="1498"/>
      <c r="AA20" s="1370">
        <f>IF(I20="T MS",H20,H20*0.085)</f>
        <v>196.875</v>
      </c>
      <c r="AD20" s="1709">
        <f>E20*F20</f>
        <v>240</v>
      </c>
      <c r="AF20" s="17"/>
      <c r="AG20" s="17"/>
      <c r="AH20" s="17"/>
      <c r="AI20" s="630"/>
      <c r="AJ20" s="630"/>
      <c r="AK20" s="630"/>
      <c r="AL20" s="630"/>
      <c r="AM20"/>
      <c r="AN20"/>
      <c r="AP20" s="1520" t="s">
        <v>2282</v>
      </c>
      <c r="AQ20" s="1420">
        <f>Paramètres!BD27</f>
        <v>850</v>
      </c>
      <c r="AR20" s="1420">
        <f>Paramètres!BE27</f>
        <v>27</v>
      </c>
      <c r="AS20" s="1420">
        <f>Paramètres!BF27</f>
        <v>6.5</v>
      </c>
      <c r="AT20" s="1420">
        <f>Paramètres!BG27</f>
        <v>40</v>
      </c>
      <c r="AV20" s="1520" t="s">
        <v>2282</v>
      </c>
      <c r="AW20" s="1420">
        <f>Paramètres!BD31</f>
        <v>900</v>
      </c>
      <c r="AX20" s="1420">
        <f>Paramètres!BE31</f>
        <v>30</v>
      </c>
      <c r="AY20" s="1420">
        <f>Paramètres!BF31</f>
        <v>6</v>
      </c>
      <c r="AZ20" s="1420">
        <f>Paramètres!BG31</f>
        <v>35</v>
      </c>
    </row>
    <row r="21" spans="1:52" x14ac:dyDescent="0.2">
      <c r="A21" s="1164"/>
      <c r="B21" s="1164"/>
      <c r="C21" s="1318" t="s">
        <v>971</v>
      </c>
      <c r="D21" s="1321"/>
      <c r="E21" s="18"/>
      <c r="F21" s="1434"/>
      <c r="G21" s="1279" t="s">
        <v>218</v>
      </c>
      <c r="H21" s="1903">
        <f>AD21*(1-AC21)</f>
        <v>0</v>
      </c>
      <c r="I21" s="1279" t="str">
        <f>LEFT(G21,LEN(G21)-3)</f>
        <v>T MS</v>
      </c>
      <c r="J21" s="1542">
        <f t="shared" ref="J21:L24" si="4">$H21*AI21</f>
        <v>0</v>
      </c>
      <c r="K21" s="1542">
        <f t="shared" si="4"/>
        <v>0</v>
      </c>
      <c r="L21" s="1542">
        <f t="shared" si="4"/>
        <v>0</v>
      </c>
      <c r="M21" s="1164"/>
      <c r="N21" s="1498"/>
      <c r="O21" s="1498"/>
      <c r="P21" s="1498"/>
      <c r="Q21" s="1498"/>
      <c r="R21" s="1498"/>
      <c r="S21" s="1498"/>
      <c r="T21" s="1498"/>
      <c r="U21" s="1498"/>
      <c r="V21" s="1498"/>
      <c r="W21" s="1498"/>
      <c r="X21" s="1498"/>
      <c r="Y21" s="1498"/>
      <c r="Z21" s="1498"/>
      <c r="AA21" s="1370">
        <f>IF(I21="T MS",H21,H21*0.085)</f>
        <v>0</v>
      </c>
      <c r="AC21" s="1707">
        <f>Paramètres!BD262</f>
        <v>0.1</v>
      </c>
      <c r="AD21" s="1709">
        <f>E21*F21</f>
        <v>0</v>
      </c>
      <c r="AF21" s="17"/>
      <c r="AG21" s="17"/>
      <c r="AH21" s="1319" t="s">
        <v>511</v>
      </c>
      <c r="AI21" s="1320">
        <f>Paramètres!BD26</f>
        <v>800</v>
      </c>
      <c r="AJ21" s="1320">
        <f>Paramètres!BE26</f>
        <v>27</v>
      </c>
      <c r="AK21" s="1320">
        <f>Paramètres!BF26</f>
        <v>6.5</v>
      </c>
      <c r="AL21" s="1320">
        <f>Paramètres!BG26</f>
        <v>40</v>
      </c>
      <c r="AM21"/>
      <c r="AN21" s="1337">
        <f>AL21*H21</f>
        <v>0</v>
      </c>
      <c r="AP21" s="1520" t="s">
        <v>2283</v>
      </c>
      <c r="AQ21" s="1420">
        <f>Paramètres!BD28</f>
        <v>800</v>
      </c>
      <c r="AR21" s="1420">
        <f>Paramètres!BE28</f>
        <v>23</v>
      </c>
      <c r="AS21" s="1420">
        <f>Paramètres!BF28</f>
        <v>5.5</v>
      </c>
      <c r="AT21" s="1420">
        <f>Paramètres!BG28</f>
        <v>30</v>
      </c>
      <c r="AV21" s="1520" t="s">
        <v>2287</v>
      </c>
      <c r="AW21" s="1420">
        <f>Paramètres!BD32</f>
        <v>800</v>
      </c>
      <c r="AX21" s="1420">
        <f>Paramètres!BE32</f>
        <v>25</v>
      </c>
      <c r="AY21" s="1420">
        <f>Paramètres!BF32</f>
        <v>5.5</v>
      </c>
      <c r="AZ21" s="1420">
        <f>Paramètres!BG32</f>
        <v>25</v>
      </c>
    </row>
    <row r="22" spans="1:52" x14ac:dyDescent="0.2">
      <c r="A22" s="1164"/>
      <c r="B22" s="1164"/>
      <c r="C22" s="1318" t="s">
        <v>2276</v>
      </c>
      <c r="D22" s="18" t="s">
        <v>2283</v>
      </c>
      <c r="E22" s="18">
        <v>15</v>
      </c>
      <c r="F22" s="1434">
        <v>4.5</v>
      </c>
      <c r="G22" s="1279" t="s">
        <v>218</v>
      </c>
      <c r="H22" s="1903">
        <f>AD22*(1-AC22)</f>
        <v>57.375</v>
      </c>
      <c r="I22" s="1279" t="str">
        <f>LEFT(G22,LEN(G22)-3)</f>
        <v>T MS</v>
      </c>
      <c r="J22" s="1542">
        <f t="shared" ref="J22:L23" si="5">IF(ISBLANK($D22),0,$H22*AI22)</f>
        <v>45900</v>
      </c>
      <c r="K22" s="1542">
        <f t="shared" si="5"/>
        <v>1319.625</v>
      </c>
      <c r="L22" s="1542">
        <f t="shared" si="5"/>
        <v>315.5625</v>
      </c>
      <c r="M22" s="1164"/>
      <c r="N22" s="1498"/>
      <c r="O22" s="1498"/>
      <c r="P22" s="1498"/>
      <c r="Q22" s="1498"/>
      <c r="R22" s="1498"/>
      <c r="S22" s="1498"/>
      <c r="T22" s="1498"/>
      <c r="U22" s="1498"/>
      <c r="V22" s="1498"/>
      <c r="W22" s="1498"/>
      <c r="X22" s="1498"/>
      <c r="Y22" s="1498"/>
      <c r="Z22" s="1498"/>
      <c r="AA22" s="1370">
        <f>IF(I22="T MS",H22,H22*0.085)</f>
        <v>57.375</v>
      </c>
      <c r="AC22" s="1707">
        <f>Paramètres!BD263</f>
        <v>0.15</v>
      </c>
      <c r="AD22" s="1709">
        <f>E22*F22</f>
        <v>67.5</v>
      </c>
      <c r="AF22" s="17"/>
      <c r="AG22" s="17"/>
      <c r="AH22" s="1319" t="s">
        <v>2274</v>
      </c>
      <c r="AI22" s="2135">
        <f>IF(ISBLANK($D22),0,VLOOKUP($D22,$AP$20:$AT$23,2,FALSE))</f>
        <v>800</v>
      </c>
      <c r="AJ22" s="2135">
        <f>IF(ISBLANK($D22),0,VLOOKUP($D22,$AP$20:$AT$23,3,FALSE))</f>
        <v>23</v>
      </c>
      <c r="AK22" s="2135">
        <f>IF(ISBLANK($D22),0,VLOOKUP($D22,$AP$20:$AT$23,4,FALSE))</f>
        <v>5.5</v>
      </c>
      <c r="AL22" s="2135">
        <f>IF(ISBLANK($D22),0,VLOOKUP($D22,$AP$20:$AT$23,5,FALSE))</f>
        <v>30</v>
      </c>
      <c r="AN22" s="1337">
        <f>AL22*H22</f>
        <v>1721.25</v>
      </c>
      <c r="AP22" s="1520" t="s">
        <v>2284</v>
      </c>
      <c r="AQ22" s="1420">
        <f>Paramètres!BD29</f>
        <v>750</v>
      </c>
      <c r="AR22" s="1420">
        <f>Paramètres!BE29</f>
        <v>20</v>
      </c>
      <c r="AS22" s="1420">
        <f>Paramètres!BF29</f>
        <v>5</v>
      </c>
      <c r="AT22" s="1420">
        <f>Paramètres!BG29</f>
        <v>26</v>
      </c>
      <c r="AV22" s="1520" t="s">
        <v>2288</v>
      </c>
      <c r="AW22" s="1420">
        <f>Paramètres!BD33</f>
        <v>750</v>
      </c>
      <c r="AX22" s="1420">
        <f>Paramètres!BE33</f>
        <v>22</v>
      </c>
      <c r="AY22" s="1420">
        <f>Paramètres!BF33</f>
        <v>5</v>
      </c>
      <c r="AZ22" s="1420">
        <f>Paramètres!BG33</f>
        <v>20</v>
      </c>
    </row>
    <row r="23" spans="1:52" x14ac:dyDescent="0.2">
      <c r="A23" s="1164"/>
      <c r="B23" s="1164"/>
      <c r="C23" s="1318" t="s">
        <v>2277</v>
      </c>
      <c r="D23" s="18" t="s">
        <v>2288</v>
      </c>
      <c r="E23" s="18">
        <v>10</v>
      </c>
      <c r="F23" s="1434">
        <v>3</v>
      </c>
      <c r="G23" s="1279" t="s">
        <v>218</v>
      </c>
      <c r="H23" s="1903">
        <f>AD23*(1-AC23)</f>
        <v>25.5</v>
      </c>
      <c r="I23" s="1279" t="str">
        <f>LEFT(G23,LEN(G23)-3)</f>
        <v>T MS</v>
      </c>
      <c r="J23" s="1542">
        <f t="shared" si="5"/>
        <v>19125</v>
      </c>
      <c r="K23" s="1542">
        <f t="shared" si="5"/>
        <v>561</v>
      </c>
      <c r="L23" s="1542">
        <f t="shared" si="5"/>
        <v>127.5</v>
      </c>
      <c r="M23" s="1164"/>
      <c r="N23" s="1498"/>
      <c r="O23" s="1498"/>
      <c r="P23" s="1498"/>
      <c r="Q23" s="1498"/>
      <c r="R23" s="1498"/>
      <c r="S23" s="1498"/>
      <c r="T23" s="1498"/>
      <c r="U23" s="1498"/>
      <c r="V23" s="1498"/>
      <c r="W23" s="1498"/>
      <c r="X23" s="1498"/>
      <c r="Y23" s="1498"/>
      <c r="Z23" s="1498"/>
      <c r="AA23" s="1370">
        <f>IF(I23="T MS",H23,H23*0.085)</f>
        <v>25.5</v>
      </c>
      <c r="AC23" s="1707">
        <f>Paramètres!BD264</f>
        <v>0.15</v>
      </c>
      <c r="AD23" s="1709">
        <f>E23*F23</f>
        <v>30</v>
      </c>
      <c r="AF23" s="17"/>
      <c r="AG23" s="17"/>
      <c r="AH23" s="1319" t="s">
        <v>2275</v>
      </c>
      <c r="AI23" s="2135">
        <f>IF(ISBLANK($D23),0,VLOOKUP($D23,$AV$20:$AZ$22,2,FALSE))</f>
        <v>750</v>
      </c>
      <c r="AJ23" s="2135">
        <f>IF(ISBLANK($D23),0,VLOOKUP($D23,$AV$20:$AZ$22,3,FALSE))</f>
        <v>22</v>
      </c>
      <c r="AK23" s="2135">
        <f>IF(ISBLANK($D23),0,VLOOKUP($D23,$AV$20:$AZ$22,4,FALSE))</f>
        <v>5</v>
      </c>
      <c r="AL23" s="2135">
        <f>IF(ISBLANK($D23),0,VLOOKUP($D23,$AV$20:$AZ$22,5,FALSE))</f>
        <v>20</v>
      </c>
      <c r="AN23" s="1337">
        <f>AL23*H23</f>
        <v>510</v>
      </c>
      <c r="AP23" s="1520" t="s">
        <v>2285</v>
      </c>
      <c r="AQ23" s="1420">
        <f>Paramètres!BD30</f>
        <v>780</v>
      </c>
      <c r="AR23" s="1420">
        <f>Paramètres!BE30</f>
        <v>23</v>
      </c>
      <c r="AS23" s="1420">
        <f>Paramètres!BF30</f>
        <v>5.5</v>
      </c>
      <c r="AT23" s="1420">
        <f>Paramètres!BG30</f>
        <v>30</v>
      </c>
    </row>
    <row r="24" spans="1:52" x14ac:dyDescent="0.2">
      <c r="A24" s="1164"/>
      <c r="B24" s="1164"/>
      <c r="C24" s="1318" t="s">
        <v>972</v>
      </c>
      <c r="D24" s="1321"/>
      <c r="E24" s="1321"/>
      <c r="F24" s="1321"/>
      <c r="G24" s="1279"/>
      <c r="H24" s="1903">
        <f>AD24*(1-AC24)</f>
        <v>114</v>
      </c>
      <c r="I24" s="1279" t="str">
        <f>I22</f>
        <v>T MS</v>
      </c>
      <c r="J24" s="1542">
        <f t="shared" si="4"/>
        <v>96900</v>
      </c>
      <c r="K24" s="1542">
        <f t="shared" si="4"/>
        <v>3078</v>
      </c>
      <c r="L24" s="1542">
        <f t="shared" si="4"/>
        <v>912</v>
      </c>
      <c r="M24" s="1164"/>
      <c r="N24" s="1498"/>
      <c r="O24" s="1498"/>
      <c r="P24" s="1498"/>
      <c r="Q24" s="1498"/>
      <c r="R24" s="1498"/>
      <c r="S24" s="1498"/>
      <c r="T24" s="1498"/>
      <c r="U24" s="1498"/>
      <c r="V24" s="1498"/>
      <c r="W24" s="1498"/>
      <c r="X24" s="1498"/>
      <c r="Y24" s="1498"/>
      <c r="Z24" s="1498"/>
      <c r="AA24" s="1370">
        <f>IF(I24="T MS",H24,H24*0.085)</f>
        <v>114</v>
      </c>
      <c r="AC24" s="1707">
        <f>Paramètres!BD265</f>
        <v>0.2</v>
      </c>
      <c r="AD24" s="1709">
        <f>AD20-AD21-AD22-AD23</f>
        <v>142.5</v>
      </c>
      <c r="AF24" s="17"/>
      <c r="AG24" s="17"/>
      <c r="AH24" s="1319" t="s">
        <v>512</v>
      </c>
      <c r="AI24" s="1320">
        <f>Paramètres!BD34</f>
        <v>850</v>
      </c>
      <c r="AJ24" s="1320">
        <f>Paramètres!BE34</f>
        <v>27</v>
      </c>
      <c r="AK24" s="1320">
        <f>Paramètres!BF34</f>
        <v>8</v>
      </c>
      <c r="AL24" s="1320">
        <f>Paramètres!BG34</f>
        <v>45</v>
      </c>
      <c r="AN24" s="1337">
        <f>AL24*H24</f>
        <v>5130</v>
      </c>
    </row>
    <row r="25" spans="1:52" ht="5.0999999999999996" customHeight="1" x14ac:dyDescent="0.2">
      <c r="A25" s="1164"/>
      <c r="B25" s="1164"/>
      <c r="C25" s="1164"/>
      <c r="D25" s="4"/>
      <c r="E25" s="4"/>
      <c r="F25" s="4"/>
      <c r="G25" s="1279"/>
      <c r="H25" s="1905"/>
      <c r="I25" s="4"/>
      <c r="J25" s="1305"/>
      <c r="K25" s="1305"/>
      <c r="L25" s="1305"/>
      <c r="M25" s="4"/>
      <c r="N25" s="1498"/>
      <c r="O25" s="1498"/>
      <c r="P25" s="1498"/>
      <c r="Q25" s="1498"/>
      <c r="R25" s="1498"/>
      <c r="S25" s="1498"/>
      <c r="T25" s="1498"/>
      <c r="U25" s="1498"/>
      <c r="V25" s="1498"/>
      <c r="W25" s="1498"/>
      <c r="X25" s="1498"/>
      <c r="Y25" s="1498"/>
      <c r="Z25" s="1498"/>
      <c r="AF25" s="17"/>
      <c r="AG25" s="17"/>
      <c r="AH25" s="17"/>
      <c r="AJ25"/>
      <c r="AK25"/>
      <c r="AL25"/>
      <c r="AM25"/>
      <c r="AN25"/>
    </row>
    <row r="26" spans="1:52" x14ac:dyDescent="0.2">
      <c r="A26" s="1164"/>
      <c r="B26" s="1164"/>
      <c r="C26" s="4" t="s">
        <v>53</v>
      </c>
      <c r="D26" s="4"/>
      <c r="E26" s="18"/>
      <c r="F26" s="18"/>
      <c r="G26" s="1279" t="s">
        <v>218</v>
      </c>
      <c r="H26" s="1906">
        <f>(E26*F26)*(1-AC26)</f>
        <v>0</v>
      </c>
      <c r="I26" s="1279" t="str">
        <f>LEFT(G26,LEN(G26)-3)</f>
        <v>T MS</v>
      </c>
      <c r="J26" s="1287">
        <f t="shared" ref="J26:L27" si="6">$H26*AI26</f>
        <v>0</v>
      </c>
      <c r="K26" s="1287">
        <f t="shared" si="6"/>
        <v>0</v>
      </c>
      <c r="L26" s="1287">
        <f t="shared" si="6"/>
        <v>0</v>
      </c>
      <c r="M26" s="1164"/>
      <c r="N26" s="1498"/>
      <c r="O26" s="1498"/>
      <c r="P26" s="1498"/>
      <c r="Q26" s="1498"/>
      <c r="R26" s="1498"/>
      <c r="S26" s="1498"/>
      <c r="T26" s="1498"/>
      <c r="U26" s="1498"/>
      <c r="V26" s="1498"/>
      <c r="W26" s="1498"/>
      <c r="X26" s="1498"/>
      <c r="Y26" s="1498"/>
      <c r="Z26" s="1498"/>
      <c r="AA26" s="1370">
        <f>IF(I26="T MS",H26,H26*0.085)</f>
        <v>0</v>
      </c>
      <c r="AC26" s="1707">
        <f>Paramètres!BD266</f>
        <v>0.1</v>
      </c>
      <c r="AF26" s="17"/>
      <c r="AG26" s="17"/>
      <c r="AH26" s="17" t="s">
        <v>53</v>
      </c>
      <c r="AI26" s="1105">
        <f>Paramètres!BD36</f>
        <v>670</v>
      </c>
      <c r="AJ26" s="1105">
        <f>Paramètres!BE36</f>
        <v>18</v>
      </c>
      <c r="AK26" s="1105">
        <f>Paramètres!BF36</f>
        <v>8</v>
      </c>
      <c r="AL26" s="1105">
        <f>Paramètres!BG36</f>
        <v>30</v>
      </c>
      <c r="AM26"/>
      <c r="AN26" s="1337">
        <f>AL26*H26</f>
        <v>0</v>
      </c>
    </row>
    <row r="27" spans="1:52" x14ac:dyDescent="0.2">
      <c r="A27" s="1164"/>
      <c r="B27" s="1164"/>
      <c r="C27" s="4" t="s">
        <v>513</v>
      </c>
      <c r="D27" s="4"/>
      <c r="E27" s="18"/>
      <c r="F27" s="18"/>
      <c r="G27" s="1279" t="s">
        <v>218</v>
      </c>
      <c r="H27" s="1906">
        <f>(E27*F27)*(1-AC27)</f>
        <v>0</v>
      </c>
      <c r="I27" s="1279" t="str">
        <f>LEFT(G27,LEN(G27)-3)</f>
        <v>T MS</v>
      </c>
      <c r="J27" s="1287">
        <f t="shared" si="6"/>
        <v>0</v>
      </c>
      <c r="K27" s="1287">
        <f t="shared" si="6"/>
        <v>0</v>
      </c>
      <c r="L27" s="1287">
        <f t="shared" si="6"/>
        <v>0</v>
      </c>
      <c r="M27" s="1164"/>
      <c r="N27" s="1498"/>
      <c r="O27" s="1498"/>
      <c r="P27" s="1498"/>
      <c r="Q27" s="1498"/>
      <c r="R27" s="1498"/>
      <c r="S27" s="1498"/>
      <c r="T27" s="1498"/>
      <c r="U27" s="1498"/>
      <c r="V27" s="1498"/>
      <c r="W27" s="1498"/>
      <c r="X27" s="1498"/>
      <c r="Y27" s="1498"/>
      <c r="Z27" s="1498"/>
      <c r="AA27" s="1370">
        <f>IF(I27="T MS",H27,H27*0.085)</f>
        <v>0</v>
      </c>
      <c r="AC27" s="1707">
        <f>Paramètres!BD267</f>
        <v>0.1</v>
      </c>
      <c r="AF27" s="17"/>
      <c r="AG27" s="17"/>
      <c r="AH27" s="17" t="s">
        <v>513</v>
      </c>
      <c r="AI27" s="1105">
        <f>Paramètres!BD37</f>
        <v>650</v>
      </c>
      <c r="AJ27" s="1105">
        <f>Paramètres!BE37</f>
        <v>15</v>
      </c>
      <c r="AK27" s="1105">
        <f>Paramètres!BF37</f>
        <v>5.5</v>
      </c>
      <c r="AL27" s="1105">
        <f>Paramètres!BG37</f>
        <v>35</v>
      </c>
      <c r="AM27"/>
      <c r="AN27" s="1337">
        <f>AL27*H27</f>
        <v>0</v>
      </c>
    </row>
    <row r="28" spans="1:52" ht="5.0999999999999996" customHeight="1" x14ac:dyDescent="0.2">
      <c r="A28" s="1164"/>
      <c r="B28" s="1164"/>
      <c r="C28" s="4"/>
      <c r="D28" s="4"/>
      <c r="E28" s="4"/>
      <c r="F28" s="4"/>
      <c r="G28" s="4"/>
      <c r="H28" s="1905"/>
      <c r="I28" s="4"/>
      <c r="J28" s="1305"/>
      <c r="K28" s="1305"/>
      <c r="L28" s="1305"/>
      <c r="M28" s="4"/>
      <c r="N28" s="1498"/>
      <c r="O28" s="1498"/>
      <c r="P28" s="1498"/>
      <c r="Q28" s="1498"/>
      <c r="R28" s="1498"/>
      <c r="S28" s="1498"/>
      <c r="T28" s="1498"/>
      <c r="U28" s="1498"/>
      <c r="V28" s="1498"/>
      <c r="W28" s="1498"/>
      <c r="X28" s="1498"/>
      <c r="Y28" s="1498"/>
      <c r="Z28" s="1498"/>
      <c r="AJ28"/>
      <c r="AK28"/>
      <c r="AL28"/>
      <c r="AM28"/>
      <c r="AN28"/>
    </row>
    <row r="29" spans="1:52" ht="15" x14ac:dyDescent="0.25">
      <c r="A29" s="1284" t="s">
        <v>1431</v>
      </c>
      <c r="B29" s="1259"/>
      <c r="C29" s="1259"/>
      <c r="D29" s="1164"/>
      <c r="E29" s="1164"/>
      <c r="F29" s="1164"/>
      <c r="G29" s="1279"/>
      <c r="H29" s="1907"/>
      <c r="I29" s="1279"/>
      <c r="J29" s="1544"/>
      <c r="K29" s="1544"/>
      <c r="L29" s="1544"/>
      <c r="M29" s="1164"/>
      <c r="N29" s="1498"/>
      <c r="O29" s="1498"/>
      <c r="P29" s="1498"/>
      <c r="Q29" s="1498"/>
      <c r="R29" s="1498"/>
      <c r="S29" s="1498"/>
      <c r="T29" s="1498"/>
      <c r="U29" s="1498"/>
      <c r="V29" s="1498"/>
      <c r="W29" s="1498"/>
      <c r="X29" s="1498"/>
      <c r="Y29" s="1498"/>
      <c r="Z29" s="1498"/>
      <c r="AF29" s="17" t="s">
        <v>508</v>
      </c>
      <c r="AG29" s="17"/>
      <c r="AH29" s="17"/>
      <c r="AJ29"/>
      <c r="AK29"/>
      <c r="AL29"/>
      <c r="AM29"/>
      <c r="AN29"/>
    </row>
    <row r="30" spans="1:52" x14ac:dyDescent="0.2">
      <c r="A30" s="1164"/>
      <c r="B30" s="1259" t="s">
        <v>507</v>
      </c>
      <c r="C30" s="4"/>
      <c r="D30" s="1164"/>
      <c r="E30" s="1164"/>
      <c r="F30" s="1164"/>
      <c r="G30" s="1279"/>
      <c r="H30" s="1907"/>
      <c r="I30" s="1279"/>
      <c r="J30" s="1544"/>
      <c r="K30" s="1544"/>
      <c r="L30" s="1544"/>
      <c r="M30" s="1164"/>
      <c r="N30" s="1498"/>
      <c r="O30" s="1498"/>
      <c r="P30" s="1498"/>
      <c r="Q30" s="1498"/>
      <c r="R30" s="1498"/>
      <c r="S30" s="1498"/>
      <c r="T30" s="1498"/>
      <c r="U30" s="1498"/>
      <c r="V30" s="1498"/>
      <c r="W30" s="1498"/>
      <c r="X30" s="1498"/>
      <c r="Y30" s="1498"/>
      <c r="Z30" s="1498"/>
      <c r="AF30" s="17"/>
      <c r="AG30" s="17" t="s">
        <v>507</v>
      </c>
      <c r="AH30" s="17"/>
      <c r="AJ30"/>
      <c r="AK30"/>
      <c r="AL30"/>
      <c r="AM30"/>
      <c r="AN30"/>
    </row>
    <row r="31" spans="1:52" x14ac:dyDescent="0.2">
      <c r="A31" s="1164"/>
      <c r="B31" s="1164"/>
      <c r="C31" s="1471" t="s">
        <v>1160</v>
      </c>
      <c r="D31" s="1164"/>
      <c r="E31" s="18">
        <v>15</v>
      </c>
      <c r="F31" s="18">
        <v>13</v>
      </c>
      <c r="G31" s="1279" t="s">
        <v>218</v>
      </c>
      <c r="H31" s="1906">
        <f t="shared" ref="H31:H36" si="7">(E31*F31)*(1-AC31)</f>
        <v>175.5</v>
      </c>
      <c r="I31" s="1279" t="str">
        <f t="shared" ref="I31:I49" si="8">LEFT(G31,LEN(G31)-3)</f>
        <v>T MS</v>
      </c>
      <c r="J31" s="1287">
        <f t="shared" ref="J31:L36" si="9">$H31*AI31</f>
        <v>149175</v>
      </c>
      <c r="K31" s="1287">
        <f t="shared" si="9"/>
        <v>2018.25</v>
      </c>
      <c r="L31" s="1287">
        <f t="shared" si="9"/>
        <v>737.1</v>
      </c>
      <c r="M31" s="1164"/>
      <c r="N31" s="1498"/>
      <c r="O31" s="1498"/>
      <c r="P31" s="1498"/>
      <c r="Q31" s="1498"/>
      <c r="R31" s="1498"/>
      <c r="S31" s="1498"/>
      <c r="T31" s="1498"/>
      <c r="U31" s="1498"/>
      <c r="V31" s="1498"/>
      <c r="W31" s="1498"/>
      <c r="X31" s="1498"/>
      <c r="Y31" s="1498"/>
      <c r="Z31" s="1498"/>
      <c r="AA31" s="1370">
        <f t="shared" ref="AA31:AA36" si="10">IF(I31="T MS",H31,H31*0.085)</f>
        <v>175.5</v>
      </c>
      <c r="AC31" s="1707">
        <f>Paramètres!BD271</f>
        <v>0.1</v>
      </c>
      <c r="AF31" s="17"/>
      <c r="AG31" s="17"/>
      <c r="AH31" s="1495" t="s">
        <v>1160</v>
      </c>
      <c r="AI31" s="1105">
        <f>Paramètres!BD41</f>
        <v>850</v>
      </c>
      <c r="AJ31" s="1105">
        <f>Paramètres!BE41</f>
        <v>11.5</v>
      </c>
      <c r="AK31" s="1105">
        <f>Paramètres!BF41</f>
        <v>4.2</v>
      </c>
      <c r="AL31" s="1105">
        <f>Paramètres!BG41</f>
        <v>12</v>
      </c>
      <c r="AM31"/>
      <c r="AN31" s="1337">
        <f t="shared" ref="AN31:AN36" si="11">AL31*H31</f>
        <v>2106</v>
      </c>
    </row>
    <row r="32" spans="1:52" x14ac:dyDescent="0.2">
      <c r="A32" s="1164"/>
      <c r="B32" s="1164"/>
      <c r="C32" s="7" t="s">
        <v>225</v>
      </c>
      <c r="D32" s="1164"/>
      <c r="E32" s="18"/>
      <c r="F32" s="18"/>
      <c r="G32" s="1279" t="s">
        <v>218</v>
      </c>
      <c r="H32" s="1906">
        <f t="shared" si="7"/>
        <v>0</v>
      </c>
      <c r="I32" s="1279" t="str">
        <f t="shared" si="8"/>
        <v>T MS</v>
      </c>
      <c r="J32" s="1287">
        <f t="shared" si="9"/>
        <v>0</v>
      </c>
      <c r="K32" s="1287">
        <f t="shared" si="9"/>
        <v>0</v>
      </c>
      <c r="L32" s="1287">
        <f t="shared" si="9"/>
        <v>0</v>
      </c>
      <c r="M32" s="1164"/>
      <c r="N32" s="1498"/>
      <c r="O32" s="1498"/>
      <c r="P32" s="1498"/>
      <c r="Q32" s="1498"/>
      <c r="R32" s="1498"/>
      <c r="S32" s="1498"/>
      <c r="T32" s="1498"/>
      <c r="U32" s="1498"/>
      <c r="V32" s="1498"/>
      <c r="W32" s="1498"/>
      <c r="X32" s="1498"/>
      <c r="Y32" s="1498"/>
      <c r="Z32" s="1498"/>
      <c r="AA32" s="1370">
        <f t="shared" si="10"/>
        <v>0</v>
      </c>
      <c r="AC32" s="1707">
        <f>Paramètres!BD272</f>
        <v>0.1</v>
      </c>
      <c r="AF32" s="17"/>
      <c r="AG32" s="17"/>
      <c r="AH32" s="17" t="s">
        <v>228</v>
      </c>
      <c r="AI32" s="1105">
        <f>Paramètres!BD42</f>
        <v>1150</v>
      </c>
      <c r="AJ32" s="1105">
        <f>Paramètres!BE42</f>
        <v>16</v>
      </c>
      <c r="AK32" s="1105">
        <f>Paramètres!BF42</f>
        <v>3.4</v>
      </c>
      <c r="AL32" s="1105">
        <f>Paramètres!BG42</f>
        <v>14</v>
      </c>
      <c r="AM32"/>
      <c r="AN32" s="1337">
        <f t="shared" si="11"/>
        <v>0</v>
      </c>
    </row>
    <row r="33" spans="1:40" x14ac:dyDescent="0.2">
      <c r="A33" s="1164"/>
      <c r="B33" s="1164"/>
      <c r="C33" s="4" t="s">
        <v>226</v>
      </c>
      <c r="D33" s="1164"/>
      <c r="E33" s="18"/>
      <c r="F33" s="18"/>
      <c r="G33" s="1279" t="s">
        <v>218</v>
      </c>
      <c r="H33" s="1906">
        <f t="shared" si="7"/>
        <v>0</v>
      </c>
      <c r="I33" s="1279" t="str">
        <f t="shared" si="8"/>
        <v>T MS</v>
      </c>
      <c r="J33" s="1287">
        <f t="shared" si="9"/>
        <v>0</v>
      </c>
      <c r="K33" s="1287">
        <f t="shared" si="9"/>
        <v>0</v>
      </c>
      <c r="L33" s="1287">
        <f t="shared" si="9"/>
        <v>0</v>
      </c>
      <c r="M33" s="1164"/>
      <c r="N33" s="1498"/>
      <c r="O33" s="1498"/>
      <c r="P33" s="1498"/>
      <c r="Q33" s="1498"/>
      <c r="R33" s="1498"/>
      <c r="S33" s="1498"/>
      <c r="T33" s="1498"/>
      <c r="U33" s="1498"/>
      <c r="V33" s="1498"/>
      <c r="W33" s="1498"/>
      <c r="X33" s="1498"/>
      <c r="Y33" s="1498"/>
      <c r="Z33" s="1498"/>
      <c r="AA33" s="1370">
        <f t="shared" si="10"/>
        <v>0</v>
      </c>
      <c r="AC33" s="1707">
        <f>Paramètres!BD273</f>
        <v>0.15</v>
      </c>
      <c r="AF33" s="17"/>
      <c r="AG33" s="17"/>
      <c r="AH33" s="17" t="s">
        <v>226</v>
      </c>
      <c r="AI33" s="1105">
        <f>Paramètres!BD43</f>
        <v>850</v>
      </c>
      <c r="AJ33" s="1105">
        <f>Paramètres!BE43</f>
        <v>26</v>
      </c>
      <c r="AK33" s="1105">
        <f>Paramètres!BF43</f>
        <v>8.1999999999999993</v>
      </c>
      <c r="AL33" s="1105">
        <f>Paramètres!BG43</f>
        <v>18</v>
      </c>
      <c r="AM33"/>
      <c r="AN33" s="1337">
        <f t="shared" si="11"/>
        <v>0</v>
      </c>
    </row>
    <row r="34" spans="1:40" x14ac:dyDescent="0.2">
      <c r="A34" s="1164"/>
      <c r="B34" s="1164"/>
      <c r="C34" s="4" t="s">
        <v>227</v>
      </c>
      <c r="D34" s="1164"/>
      <c r="E34" s="18"/>
      <c r="F34" s="18"/>
      <c r="G34" s="1279" t="s">
        <v>218</v>
      </c>
      <c r="H34" s="1906">
        <f t="shared" si="7"/>
        <v>0</v>
      </c>
      <c r="I34" s="1279" t="str">
        <f t="shared" si="8"/>
        <v>T MS</v>
      </c>
      <c r="J34" s="1287">
        <f t="shared" si="9"/>
        <v>0</v>
      </c>
      <c r="K34" s="1287">
        <f t="shared" si="9"/>
        <v>0</v>
      </c>
      <c r="L34" s="1287">
        <f t="shared" si="9"/>
        <v>0</v>
      </c>
      <c r="M34" s="1164"/>
      <c r="N34" s="1498"/>
      <c r="O34" s="1498"/>
      <c r="P34" s="1498"/>
      <c r="Q34" s="1498"/>
      <c r="R34" s="1498"/>
      <c r="S34" s="1498"/>
      <c r="T34" s="1498"/>
      <c r="U34" s="1498"/>
      <c r="V34" s="1498"/>
      <c r="W34" s="1498"/>
      <c r="X34" s="1498"/>
      <c r="Y34" s="1498"/>
      <c r="Z34" s="1498"/>
      <c r="AA34" s="1370">
        <f t="shared" si="10"/>
        <v>0</v>
      </c>
      <c r="AC34" s="1707">
        <f>Paramètres!BD274</f>
        <v>0.15</v>
      </c>
      <c r="AF34" s="17"/>
      <c r="AG34" s="17"/>
      <c r="AH34" s="17" t="s">
        <v>227</v>
      </c>
      <c r="AI34" s="1105">
        <f>Paramètres!BD44</f>
        <v>1030</v>
      </c>
      <c r="AJ34" s="1105">
        <f>Paramètres!BE44</f>
        <v>27</v>
      </c>
      <c r="AK34" s="1105">
        <f>Paramètres!BF44</f>
        <v>8</v>
      </c>
      <c r="AL34" s="1105">
        <f>Paramètres!BG44</f>
        <v>30</v>
      </c>
      <c r="AM34"/>
      <c r="AN34" s="1337">
        <f t="shared" si="11"/>
        <v>0</v>
      </c>
    </row>
    <row r="35" spans="1:40" x14ac:dyDescent="0.2">
      <c r="A35" s="1164"/>
      <c r="B35" s="1164"/>
      <c r="C35" s="1471" t="s">
        <v>1161</v>
      </c>
      <c r="D35" s="1164"/>
      <c r="E35" s="18"/>
      <c r="F35" s="18"/>
      <c r="G35" s="1279" t="s">
        <v>218</v>
      </c>
      <c r="H35" s="1906">
        <f t="shared" si="7"/>
        <v>0</v>
      </c>
      <c r="I35" s="1279" t="str">
        <f>LEFT(G35,LEN(G35)-3)</f>
        <v>T MS</v>
      </c>
      <c r="J35" s="1287">
        <f t="shared" si="9"/>
        <v>0</v>
      </c>
      <c r="K35" s="1287">
        <f t="shared" si="9"/>
        <v>0</v>
      </c>
      <c r="L35" s="1287">
        <f t="shared" si="9"/>
        <v>0</v>
      </c>
      <c r="M35" s="1164"/>
      <c r="N35" s="1498"/>
      <c r="O35" s="1498"/>
      <c r="P35" s="1498"/>
      <c r="Q35" s="1498"/>
      <c r="R35" s="1498"/>
      <c r="S35" s="1498"/>
      <c r="T35" s="1498"/>
      <c r="U35" s="1498"/>
      <c r="V35" s="1498"/>
      <c r="W35" s="1498"/>
      <c r="X35" s="1498"/>
      <c r="Y35" s="1498"/>
      <c r="Z35" s="1498"/>
      <c r="AA35" s="1370">
        <f t="shared" si="10"/>
        <v>0</v>
      </c>
      <c r="AC35" s="1707">
        <f>Paramètres!BD275</f>
        <v>0.1</v>
      </c>
      <c r="AF35" s="17"/>
      <c r="AG35" s="17"/>
      <c r="AH35" s="1495" t="s">
        <v>1161</v>
      </c>
      <c r="AI35" s="1105">
        <f>Paramètres!BD45</f>
        <v>800</v>
      </c>
      <c r="AJ35" s="1105">
        <f>Paramètres!BE45</f>
        <v>26</v>
      </c>
      <c r="AK35" s="1105">
        <f>Paramètres!BF45</f>
        <v>7</v>
      </c>
      <c r="AL35" s="1105">
        <f>Paramètres!BG45</f>
        <v>35</v>
      </c>
      <c r="AM35"/>
      <c r="AN35" s="1337">
        <f t="shared" si="11"/>
        <v>0</v>
      </c>
    </row>
    <row r="36" spans="1:40" x14ac:dyDescent="0.2">
      <c r="A36" s="1164"/>
      <c r="B36" s="1164"/>
      <c r="C36" s="1471" t="s">
        <v>2191</v>
      </c>
      <c r="D36" s="1164"/>
      <c r="E36" s="18"/>
      <c r="F36" s="18"/>
      <c r="G36" s="1279" t="s">
        <v>218</v>
      </c>
      <c r="H36" s="1906">
        <f t="shared" si="7"/>
        <v>0</v>
      </c>
      <c r="I36" s="1279" t="str">
        <f>LEFT(G36,LEN(G36)-3)</f>
        <v>T MS</v>
      </c>
      <c r="J36" s="1287">
        <f t="shared" si="9"/>
        <v>0</v>
      </c>
      <c r="K36" s="1287">
        <f t="shared" si="9"/>
        <v>0</v>
      </c>
      <c r="L36" s="1287">
        <f t="shared" si="9"/>
        <v>0</v>
      </c>
      <c r="M36" s="1164"/>
      <c r="N36" s="1498"/>
      <c r="O36" s="1498"/>
      <c r="P36" s="1498"/>
      <c r="Q36" s="1498"/>
      <c r="R36" s="1498"/>
      <c r="S36" s="1498"/>
      <c r="T36" s="1498"/>
      <c r="U36" s="1498"/>
      <c r="V36" s="1498"/>
      <c r="W36" s="1498"/>
      <c r="X36" s="1498"/>
      <c r="Y36" s="1498"/>
      <c r="Z36" s="1498"/>
      <c r="AA36" s="1370">
        <f t="shared" si="10"/>
        <v>0</v>
      </c>
      <c r="AC36" s="1707">
        <f>Paramètres!BD276</f>
        <v>0.1</v>
      </c>
      <c r="AF36" s="17"/>
      <c r="AG36" s="17"/>
      <c r="AH36" s="1495" t="s">
        <v>217</v>
      </c>
      <c r="AI36" s="1105">
        <f>Paramètres!BD46</f>
        <v>780</v>
      </c>
      <c r="AJ36" s="1105">
        <f>Paramètres!BE46</f>
        <v>30</v>
      </c>
      <c r="AK36" s="1105">
        <f>Paramètres!BF46</f>
        <v>6.5</v>
      </c>
      <c r="AL36" s="1105">
        <f>Paramètres!BG46</f>
        <v>35</v>
      </c>
      <c r="AM36"/>
      <c r="AN36" s="1337">
        <f t="shared" si="11"/>
        <v>0</v>
      </c>
    </row>
    <row r="37" spans="1:40" x14ac:dyDescent="0.2">
      <c r="A37" s="1164"/>
      <c r="B37" s="1259" t="s">
        <v>2273</v>
      </c>
      <c r="C37" s="1259"/>
      <c r="D37" s="1164"/>
      <c r="E37" s="1164"/>
      <c r="F37" s="1164"/>
      <c r="G37" s="1279"/>
      <c r="H37" s="1907"/>
      <c r="I37" s="1279"/>
      <c r="J37" s="1544"/>
      <c r="K37" s="1544"/>
      <c r="L37" s="1544"/>
      <c r="M37" s="1164"/>
      <c r="N37" s="1498"/>
      <c r="O37" s="1498"/>
      <c r="P37" s="1498"/>
      <c r="Q37" s="1498"/>
      <c r="R37" s="1498"/>
      <c r="S37" s="1498"/>
      <c r="T37" s="1498"/>
      <c r="U37" s="1498"/>
      <c r="V37" s="1498"/>
      <c r="W37" s="1498"/>
      <c r="X37" s="1498"/>
      <c r="Y37" s="1498"/>
      <c r="Z37" s="1498"/>
      <c r="AF37" s="17"/>
      <c r="AG37" s="17" t="s">
        <v>229</v>
      </c>
      <c r="AH37" s="17"/>
      <c r="AJ37"/>
      <c r="AK37"/>
      <c r="AL37"/>
      <c r="AM37"/>
      <c r="AN37"/>
    </row>
    <row r="38" spans="1:40" x14ac:dyDescent="0.2">
      <c r="A38" s="1164"/>
      <c r="B38" s="1259"/>
      <c r="C38" s="4" t="s">
        <v>54</v>
      </c>
      <c r="D38" s="1164"/>
      <c r="E38" s="18">
        <v>5</v>
      </c>
      <c r="F38" s="18">
        <v>22</v>
      </c>
      <c r="G38" s="1279" t="s">
        <v>534</v>
      </c>
      <c r="H38" s="1906">
        <f>E38*F38</f>
        <v>110</v>
      </c>
      <c r="I38" s="1279" t="str">
        <f t="shared" si="8"/>
        <v>Qx</v>
      </c>
      <c r="J38" s="1287">
        <f t="shared" ref="J38:L43" si="12">$H38*AI38</f>
        <v>11330</v>
      </c>
      <c r="K38" s="1287">
        <f t="shared" si="12"/>
        <v>440</v>
      </c>
      <c r="L38" s="1287">
        <f t="shared" si="12"/>
        <v>88</v>
      </c>
      <c r="M38" s="1164"/>
      <c r="N38" s="1498"/>
      <c r="O38" s="1498"/>
      <c r="P38" s="1498"/>
      <c r="Q38" s="1498"/>
      <c r="R38" s="1498"/>
      <c r="S38" s="1498"/>
      <c r="T38" s="1498"/>
      <c r="U38" s="1498"/>
      <c r="V38" s="1498"/>
      <c r="W38" s="1498"/>
      <c r="X38" s="1498"/>
      <c r="Y38" s="1498"/>
      <c r="Z38" s="1498"/>
      <c r="AA38" s="1370">
        <f t="shared" ref="AA38:AA43" si="13">IF(I38="T MS",H38,H38*0.085)</f>
        <v>9.3500000000000014</v>
      </c>
      <c r="AF38" s="17"/>
      <c r="AG38" s="17"/>
      <c r="AH38" s="17" t="s">
        <v>54</v>
      </c>
      <c r="AI38" s="1105">
        <f>Paramètres!BD48</f>
        <v>103</v>
      </c>
      <c r="AJ38" s="1105">
        <f>Paramètres!BE48</f>
        <v>4</v>
      </c>
      <c r="AK38" s="1105">
        <f>Paramètres!BF48</f>
        <v>0.8</v>
      </c>
      <c r="AL38" s="1105">
        <f>Paramètres!BG48</f>
        <v>1.1499999999999999</v>
      </c>
      <c r="AM38"/>
      <c r="AN38" s="1337">
        <f t="shared" ref="AN38:AN43" si="14">AL38*H38</f>
        <v>126.49999999999999</v>
      </c>
    </row>
    <row r="39" spans="1:40" x14ac:dyDescent="0.2">
      <c r="A39" s="1164"/>
      <c r="B39" s="1164"/>
      <c r="C39" s="4" t="s">
        <v>55</v>
      </c>
      <c r="D39" s="1164"/>
      <c r="E39" s="18"/>
      <c r="F39" s="18"/>
      <c r="G39" s="1279" t="s">
        <v>534</v>
      </c>
      <c r="H39" s="1906">
        <f>E39*F39</f>
        <v>0</v>
      </c>
      <c r="I39" s="1279" t="str">
        <f t="shared" si="8"/>
        <v>Qx</v>
      </c>
      <c r="J39" s="1287">
        <f t="shared" si="12"/>
        <v>0</v>
      </c>
      <c r="K39" s="1287">
        <f t="shared" si="12"/>
        <v>0</v>
      </c>
      <c r="L39" s="1287">
        <f t="shared" si="12"/>
        <v>0</v>
      </c>
      <c r="M39" s="1164"/>
      <c r="N39" s="1498"/>
      <c r="O39" s="1498"/>
      <c r="P39" s="1498"/>
      <c r="Q39" s="1498"/>
      <c r="R39" s="1498"/>
      <c r="S39" s="1498"/>
      <c r="T39" s="1498"/>
      <c r="U39" s="1498"/>
      <c r="V39" s="1498"/>
      <c r="W39" s="1498"/>
      <c r="X39" s="1498"/>
      <c r="Y39" s="1498"/>
      <c r="Z39" s="1498"/>
      <c r="AA39" s="1370">
        <f t="shared" si="13"/>
        <v>0</v>
      </c>
      <c r="AF39" s="17"/>
      <c r="AG39" s="17"/>
      <c r="AH39" s="17" t="s">
        <v>55</v>
      </c>
      <c r="AI39" s="1105">
        <f>Paramètres!BD49</f>
        <v>110</v>
      </c>
      <c r="AJ39" s="1105">
        <f>Paramètres!BE49</f>
        <v>5.7</v>
      </c>
      <c r="AK39" s="1105">
        <f>Paramètres!BF49</f>
        <v>0.75</v>
      </c>
      <c r="AL39" s="1105">
        <f>Paramètres!BG49</f>
        <v>1.05</v>
      </c>
      <c r="AM39"/>
      <c r="AN39" s="1337">
        <f t="shared" si="14"/>
        <v>0</v>
      </c>
    </row>
    <row r="40" spans="1:40" x14ac:dyDescent="0.2">
      <c r="A40" s="1164"/>
      <c r="B40" s="1164"/>
      <c r="C40" s="4" t="s">
        <v>56</v>
      </c>
      <c r="D40" s="1164"/>
      <c r="E40" s="18"/>
      <c r="F40" s="18"/>
      <c r="G40" s="1279" t="s">
        <v>534</v>
      </c>
      <c r="H40" s="1906">
        <f>E40*F40</f>
        <v>0</v>
      </c>
      <c r="I40" s="1279" t="str">
        <f t="shared" si="8"/>
        <v>Qx</v>
      </c>
      <c r="J40" s="1287">
        <f t="shared" si="12"/>
        <v>0</v>
      </c>
      <c r="K40" s="1287">
        <f t="shared" si="12"/>
        <v>0</v>
      </c>
      <c r="L40" s="1287">
        <f t="shared" si="12"/>
        <v>0</v>
      </c>
      <c r="M40" s="1164"/>
      <c r="N40" s="1498"/>
      <c r="O40" s="1498"/>
      <c r="P40" s="1498"/>
      <c r="Q40" s="1498"/>
      <c r="R40" s="1498"/>
      <c r="S40" s="1498"/>
      <c r="T40" s="1498"/>
      <c r="U40" s="1498"/>
      <c r="V40" s="1498"/>
      <c r="W40" s="1498"/>
      <c r="X40" s="1498"/>
      <c r="Y40" s="1498"/>
      <c r="Z40" s="1498"/>
      <c r="AA40" s="1370">
        <f t="shared" si="13"/>
        <v>0</v>
      </c>
      <c r="AF40" s="17"/>
      <c r="AG40" s="17"/>
      <c r="AH40" s="17" t="s">
        <v>56</v>
      </c>
      <c r="AI40" s="1105">
        <f>Paramètres!BD50</f>
        <v>100</v>
      </c>
      <c r="AJ40" s="1105">
        <f>Paramètres!BE50</f>
        <v>4.8</v>
      </c>
      <c r="AK40" s="1105">
        <f>Paramètres!BF50</f>
        <v>1.2</v>
      </c>
      <c r="AL40" s="1105">
        <f>Paramètres!BG50</f>
        <v>1.3</v>
      </c>
      <c r="AM40"/>
      <c r="AN40" s="1337">
        <f t="shared" si="14"/>
        <v>0</v>
      </c>
    </row>
    <row r="41" spans="1:40" x14ac:dyDescent="0.2">
      <c r="A41" s="1164"/>
      <c r="B41" s="1164"/>
      <c r="C41" s="4" t="s">
        <v>57</v>
      </c>
      <c r="D41" s="1164"/>
      <c r="E41" s="18"/>
      <c r="F41" s="18"/>
      <c r="G41" s="1279" t="s">
        <v>534</v>
      </c>
      <c r="H41" s="1906">
        <f>E41*F41</f>
        <v>0</v>
      </c>
      <c r="I41" s="1279" t="str">
        <f>LEFT(G41,LEN(G41)-3)</f>
        <v>Qx</v>
      </c>
      <c r="J41" s="1287">
        <f t="shared" si="12"/>
        <v>0</v>
      </c>
      <c r="K41" s="1287">
        <f t="shared" si="12"/>
        <v>0</v>
      </c>
      <c r="L41" s="1287">
        <f t="shared" si="12"/>
        <v>0</v>
      </c>
      <c r="M41" s="1164"/>
      <c r="N41" s="1498"/>
      <c r="O41" s="1498"/>
      <c r="P41" s="1498"/>
      <c r="Q41" s="1498"/>
      <c r="R41" s="1498"/>
      <c r="S41" s="1498"/>
      <c r="T41" s="1498"/>
      <c r="U41" s="1498"/>
      <c r="V41" s="1498"/>
      <c r="W41" s="1498"/>
      <c r="X41" s="1498"/>
      <c r="Y41" s="1498"/>
      <c r="Z41" s="1498"/>
      <c r="AA41" s="1370">
        <f t="shared" si="13"/>
        <v>0</v>
      </c>
      <c r="AF41" s="17"/>
      <c r="AG41" s="17"/>
      <c r="AH41" s="17" t="s">
        <v>57</v>
      </c>
      <c r="AI41" s="1105">
        <f>Paramètres!BD51</f>
        <v>100</v>
      </c>
      <c r="AJ41" s="1105">
        <f>Paramètres!BE51</f>
        <v>6.5</v>
      </c>
      <c r="AK41" s="1105">
        <f>Paramètres!BF51</f>
        <v>1</v>
      </c>
      <c r="AL41" s="1105">
        <f>Paramètres!BG51</f>
        <v>1.6</v>
      </c>
      <c r="AM41"/>
      <c r="AN41" s="1337">
        <f t="shared" si="14"/>
        <v>0</v>
      </c>
    </row>
    <row r="42" spans="1:40" x14ac:dyDescent="0.2">
      <c r="A42" s="1164"/>
      <c r="B42" s="1164"/>
      <c r="C42" s="2126" t="s">
        <v>2428</v>
      </c>
      <c r="D42" s="1164"/>
      <c r="E42" s="18"/>
      <c r="F42" s="18"/>
      <c r="G42" s="1279" t="s">
        <v>218</v>
      </c>
      <c r="H42" s="1906">
        <f>(E42*F42)*(1-AC42)</f>
        <v>0</v>
      </c>
      <c r="I42" s="1279" t="str">
        <f>LEFT(G42,LEN(G42)-3)</f>
        <v>T MS</v>
      </c>
      <c r="J42" s="1287">
        <f t="shared" si="12"/>
        <v>0</v>
      </c>
      <c r="K42" s="1287">
        <f t="shared" si="12"/>
        <v>0</v>
      </c>
      <c r="L42" s="1287">
        <f t="shared" si="12"/>
        <v>0</v>
      </c>
      <c r="M42" s="1164"/>
      <c r="N42" s="1498"/>
      <c r="O42" s="1498"/>
      <c r="P42" s="1498"/>
      <c r="Q42" s="1498"/>
      <c r="R42" s="1498"/>
      <c r="S42" s="1498"/>
      <c r="T42" s="1498"/>
      <c r="U42" s="1498"/>
      <c r="V42" s="1498"/>
      <c r="W42" s="1498"/>
      <c r="X42" s="1498"/>
      <c r="Y42" s="1498"/>
      <c r="Z42" s="1498"/>
      <c r="AA42" s="1370">
        <f t="shared" si="13"/>
        <v>0</v>
      </c>
      <c r="AC42" s="1707">
        <f>Paramètres!BD282</f>
        <v>0.15</v>
      </c>
      <c r="AF42" s="17"/>
      <c r="AG42" s="17"/>
      <c r="AH42" s="17" t="s">
        <v>58</v>
      </c>
      <c r="AI42" s="1105">
        <f>Paramètres!BD52</f>
        <v>850</v>
      </c>
      <c r="AJ42" s="1105">
        <f>Paramètres!BE52</f>
        <v>28</v>
      </c>
      <c r="AK42" s="1105">
        <f>Paramètres!BF52</f>
        <v>6.8</v>
      </c>
      <c r="AL42" s="1105">
        <f>Paramètres!BG52</f>
        <v>32</v>
      </c>
      <c r="AM42"/>
      <c r="AN42" s="1337">
        <f t="shared" si="14"/>
        <v>0</v>
      </c>
    </row>
    <row r="43" spans="1:40" x14ac:dyDescent="0.2">
      <c r="A43" s="1164"/>
      <c r="B43" s="1164"/>
      <c r="C43" s="2126" t="s">
        <v>2429</v>
      </c>
      <c r="D43" s="1164"/>
      <c r="E43" s="18"/>
      <c r="F43" s="18"/>
      <c r="G43" s="1279" t="s">
        <v>218</v>
      </c>
      <c r="H43" s="1906">
        <f>(E43*F43)*(1-AC43)</f>
        <v>0</v>
      </c>
      <c r="I43" s="1279" t="str">
        <f>LEFT(G43,LEN(G43)-3)</f>
        <v>T MS</v>
      </c>
      <c r="J43" s="1287">
        <f t="shared" si="12"/>
        <v>0</v>
      </c>
      <c r="K43" s="1287">
        <f t="shared" si="12"/>
        <v>0</v>
      </c>
      <c r="L43" s="1287">
        <f t="shared" si="12"/>
        <v>0</v>
      </c>
      <c r="M43" s="1164"/>
      <c r="N43" s="1498"/>
      <c r="O43" s="1498"/>
      <c r="P43" s="1498"/>
      <c r="Q43" s="1498"/>
      <c r="R43" s="1498"/>
      <c r="S43" s="1498"/>
      <c r="T43" s="1498"/>
      <c r="U43" s="1498"/>
      <c r="V43" s="1498"/>
      <c r="W43" s="1498"/>
      <c r="X43" s="1498"/>
      <c r="Y43" s="1498"/>
      <c r="Z43" s="1498"/>
      <c r="AA43" s="1370">
        <f t="shared" si="13"/>
        <v>0</v>
      </c>
      <c r="AC43" s="1707">
        <f>Paramètres!BD283</f>
        <v>0.15</v>
      </c>
      <c r="AF43" s="17"/>
      <c r="AG43" s="17"/>
      <c r="AH43" s="17" t="s">
        <v>217</v>
      </c>
      <c r="AI43" s="1105">
        <f>Paramètres!BD53</f>
        <v>750</v>
      </c>
      <c r="AJ43" s="1105">
        <f>Paramètres!BE53</f>
        <v>32</v>
      </c>
      <c r="AK43" s="1105">
        <f>Paramètres!BF53</f>
        <v>6.5</v>
      </c>
      <c r="AL43" s="1105">
        <f>Paramètres!BG53</f>
        <v>35</v>
      </c>
      <c r="AM43"/>
      <c r="AN43" s="1337">
        <f t="shared" si="14"/>
        <v>0</v>
      </c>
    </row>
    <row r="44" spans="1:40" x14ac:dyDescent="0.2">
      <c r="A44" s="1164"/>
      <c r="B44" s="1259" t="s">
        <v>61</v>
      </c>
      <c r="C44" s="1259"/>
      <c r="D44" s="1164"/>
      <c r="E44" s="1164"/>
      <c r="F44" s="1164"/>
      <c r="G44" s="1279"/>
      <c r="H44" s="1907"/>
      <c r="I44" s="1279"/>
      <c r="J44" s="1544"/>
      <c r="K44" s="1544"/>
      <c r="L44" s="1544"/>
      <c r="M44" s="1164"/>
      <c r="N44" s="1498"/>
      <c r="O44" s="1498"/>
      <c r="P44" s="1498"/>
      <c r="Q44" s="1498"/>
      <c r="R44" s="1498"/>
      <c r="S44" s="1498"/>
      <c r="T44" s="1498"/>
      <c r="U44" s="1498"/>
      <c r="V44" s="1498"/>
      <c r="W44" s="1498"/>
      <c r="X44" s="1498"/>
      <c r="Y44" s="1498"/>
      <c r="Z44" s="1498"/>
      <c r="AF44" s="17"/>
      <c r="AG44" s="17" t="s">
        <v>61</v>
      </c>
      <c r="AH44" s="17"/>
      <c r="AJ44"/>
      <c r="AK44"/>
      <c r="AL44"/>
      <c r="AM44"/>
      <c r="AN44"/>
    </row>
    <row r="45" spans="1:40" x14ac:dyDescent="0.2">
      <c r="A45" s="1164"/>
      <c r="B45" s="1164"/>
      <c r="C45" s="7" t="s">
        <v>974</v>
      </c>
      <c r="D45" s="1164"/>
      <c r="E45" s="18">
        <v>5</v>
      </c>
      <c r="F45" s="18">
        <v>70</v>
      </c>
      <c r="G45" s="1279" t="s">
        <v>534</v>
      </c>
      <c r="H45" s="1906">
        <f>E45*F45</f>
        <v>350</v>
      </c>
      <c r="I45" s="1279" t="str">
        <f t="shared" si="8"/>
        <v>Qx</v>
      </c>
      <c r="J45" s="1287">
        <f t="shared" ref="J45:L49" si="15">$H45*AI45</f>
        <v>36750</v>
      </c>
      <c r="K45" s="1287">
        <f t="shared" si="15"/>
        <v>630</v>
      </c>
      <c r="L45" s="1287">
        <f t="shared" si="15"/>
        <v>227.5</v>
      </c>
      <c r="M45" s="1164"/>
      <c r="N45" s="1498"/>
      <c r="O45" s="1498"/>
      <c r="P45" s="1498"/>
      <c r="Q45" s="1498"/>
      <c r="R45" s="1498"/>
      <c r="S45" s="1498"/>
      <c r="T45" s="1498"/>
      <c r="U45" s="1498"/>
      <c r="V45" s="1498"/>
      <c r="W45" s="1498"/>
      <c r="X45" s="1498"/>
      <c r="Y45" s="1498"/>
      <c r="Z45" s="1498"/>
      <c r="AA45" s="1370">
        <f>IF(I45="T MS",H45,H45*0.085)</f>
        <v>29.750000000000004</v>
      </c>
      <c r="AF45" s="17"/>
      <c r="AG45" s="17"/>
      <c r="AH45" s="17" t="s">
        <v>974</v>
      </c>
      <c r="AI45" s="1105">
        <f>Paramètres!BD55</f>
        <v>105</v>
      </c>
      <c r="AJ45" s="1105">
        <f>Paramètres!BE55</f>
        <v>1.8</v>
      </c>
      <c r="AK45" s="1105">
        <f>Paramètres!BF55</f>
        <v>0.65</v>
      </c>
      <c r="AL45" s="1105">
        <f>Paramètres!BG55</f>
        <v>0.5</v>
      </c>
      <c r="AM45"/>
      <c r="AN45" s="1337">
        <f>AL45*H45</f>
        <v>175</v>
      </c>
    </row>
    <row r="46" spans="1:40" x14ac:dyDescent="0.2">
      <c r="A46" s="1164"/>
      <c r="B46" s="1164"/>
      <c r="C46" s="4" t="s">
        <v>59</v>
      </c>
      <c r="D46" s="1164"/>
      <c r="E46" s="18"/>
      <c r="F46" s="18"/>
      <c r="G46" s="1279" t="s">
        <v>534</v>
      </c>
      <c r="H46" s="1906">
        <f>E46*F46</f>
        <v>0</v>
      </c>
      <c r="I46" s="1279" t="str">
        <f t="shared" si="8"/>
        <v>Qx</v>
      </c>
      <c r="J46" s="1287">
        <f t="shared" si="15"/>
        <v>0</v>
      </c>
      <c r="K46" s="1287">
        <f t="shared" si="15"/>
        <v>0</v>
      </c>
      <c r="L46" s="1287">
        <f t="shared" si="15"/>
        <v>0</v>
      </c>
      <c r="M46" s="1164"/>
      <c r="N46" s="1498"/>
      <c r="O46" s="1498"/>
      <c r="P46" s="1498"/>
      <c r="Q46" s="1498"/>
      <c r="R46" s="1498"/>
      <c r="S46" s="1498"/>
      <c r="T46" s="1498"/>
      <c r="U46" s="1498"/>
      <c r="V46" s="1498"/>
      <c r="W46" s="1498"/>
      <c r="X46" s="1498"/>
      <c r="Y46" s="1498"/>
      <c r="Z46" s="1498"/>
      <c r="AA46" s="1370">
        <f>IF(I46="T MS",H46,H46*0.085)</f>
        <v>0</v>
      </c>
      <c r="AF46" s="17"/>
      <c r="AG46" s="17"/>
      <c r="AH46" s="17" t="s">
        <v>59</v>
      </c>
      <c r="AI46" s="1105">
        <f>Paramètres!BD56</f>
        <v>88</v>
      </c>
      <c r="AJ46" s="1105">
        <f>Paramètres!BE56</f>
        <v>1.7</v>
      </c>
      <c r="AK46" s="1105">
        <f>Paramètres!BF56</f>
        <v>0.75</v>
      </c>
      <c r="AL46" s="1105">
        <f>Paramètres!BG56</f>
        <v>0.45</v>
      </c>
      <c r="AM46"/>
      <c r="AN46" s="1337">
        <f>AL46*H46</f>
        <v>0</v>
      </c>
    </row>
    <row r="47" spans="1:40" x14ac:dyDescent="0.2">
      <c r="A47" s="1164"/>
      <c r="B47" s="1164"/>
      <c r="C47" s="4" t="s">
        <v>215</v>
      </c>
      <c r="D47" s="1164"/>
      <c r="E47" s="18"/>
      <c r="F47" s="18"/>
      <c r="G47" s="1279" t="s">
        <v>534</v>
      </c>
      <c r="H47" s="1906">
        <f>E47*F47</f>
        <v>0</v>
      </c>
      <c r="I47" s="1279" t="str">
        <f t="shared" si="8"/>
        <v>Qx</v>
      </c>
      <c r="J47" s="1287">
        <f t="shared" si="15"/>
        <v>0</v>
      </c>
      <c r="K47" s="1287">
        <f t="shared" si="15"/>
        <v>0</v>
      </c>
      <c r="L47" s="1287">
        <f t="shared" si="15"/>
        <v>0</v>
      </c>
      <c r="M47" s="1164"/>
      <c r="N47" s="1498"/>
      <c r="O47" s="1498"/>
      <c r="P47" s="1498"/>
      <c r="Q47" s="1498"/>
      <c r="R47" s="1498"/>
      <c r="S47" s="1498"/>
      <c r="T47" s="1498"/>
      <c r="U47" s="1498"/>
      <c r="V47" s="1498"/>
      <c r="W47" s="1498"/>
      <c r="X47" s="1498"/>
      <c r="Y47" s="1498"/>
      <c r="Z47" s="1498"/>
      <c r="AA47" s="1370">
        <f>IF(I47="T MS",H47,H47*0.085)</f>
        <v>0</v>
      </c>
      <c r="AF47" s="17"/>
      <c r="AG47" s="17"/>
      <c r="AH47" s="17" t="s">
        <v>215</v>
      </c>
      <c r="AI47" s="1105">
        <f>Paramètres!BD57</f>
        <v>100</v>
      </c>
      <c r="AJ47" s="1105">
        <f>Paramètres!BE57</f>
        <v>1.6</v>
      </c>
      <c r="AK47" s="1105">
        <f>Paramètres!BF57</f>
        <v>0.65</v>
      </c>
      <c r="AL47" s="1105">
        <f>Paramètres!BG57</f>
        <v>0.55000000000000004</v>
      </c>
      <c r="AM47"/>
      <c r="AN47" s="1337">
        <f>AL47*H47</f>
        <v>0</v>
      </c>
    </row>
    <row r="48" spans="1:40" x14ac:dyDescent="0.2">
      <c r="A48" s="1164"/>
      <c r="B48" s="1164"/>
      <c r="C48" s="4" t="s">
        <v>213</v>
      </c>
      <c r="D48" s="1164"/>
      <c r="E48" s="18"/>
      <c r="F48" s="18"/>
      <c r="G48" s="1279" t="s">
        <v>534</v>
      </c>
      <c r="H48" s="1906">
        <f>E48*F48</f>
        <v>0</v>
      </c>
      <c r="I48" s="1279" t="str">
        <f t="shared" si="8"/>
        <v>Qx</v>
      </c>
      <c r="J48" s="1287">
        <f t="shared" si="15"/>
        <v>0</v>
      </c>
      <c r="K48" s="1287">
        <f t="shared" si="15"/>
        <v>0</v>
      </c>
      <c r="L48" s="1287">
        <f t="shared" si="15"/>
        <v>0</v>
      </c>
      <c r="M48" s="1164"/>
      <c r="N48" s="1498"/>
      <c r="O48" s="1498"/>
      <c r="P48" s="1498"/>
      <c r="Q48" s="1498"/>
      <c r="R48" s="1498"/>
      <c r="S48" s="1498"/>
      <c r="T48" s="1498"/>
      <c r="U48" s="1498"/>
      <c r="V48" s="1498"/>
      <c r="W48" s="1498"/>
      <c r="X48" s="1498"/>
      <c r="Y48" s="1498"/>
      <c r="Z48" s="1498"/>
      <c r="AA48" s="1370">
        <f>IF(I48="T MS",H48,H48*0.085)</f>
        <v>0</v>
      </c>
      <c r="AF48" s="17"/>
      <c r="AG48" s="17"/>
      <c r="AH48" s="17" t="s">
        <v>213</v>
      </c>
      <c r="AI48" s="1105">
        <f>Paramètres!BD58</f>
        <v>110</v>
      </c>
      <c r="AJ48" s="1105">
        <f>Paramètres!BE58</f>
        <v>1.5</v>
      </c>
      <c r="AK48" s="1105">
        <f>Paramètres!BF58</f>
        <v>0.6</v>
      </c>
      <c r="AL48" s="1105">
        <f>Paramètres!BG58</f>
        <v>0.55000000000000004</v>
      </c>
      <c r="AM48"/>
      <c r="AN48" s="1337">
        <f>AL48*H48</f>
        <v>0</v>
      </c>
    </row>
    <row r="49" spans="1:40" x14ac:dyDescent="0.2">
      <c r="A49" s="1164"/>
      <c r="B49" s="1164"/>
      <c r="C49" s="4" t="s">
        <v>60</v>
      </c>
      <c r="D49" s="1164"/>
      <c r="E49" s="18"/>
      <c r="F49" s="18"/>
      <c r="G49" s="1279" t="s">
        <v>534</v>
      </c>
      <c r="H49" s="1906">
        <f>E49*F49</f>
        <v>0</v>
      </c>
      <c r="I49" s="1279" t="str">
        <f t="shared" si="8"/>
        <v>Qx</v>
      </c>
      <c r="J49" s="1287">
        <f t="shared" si="15"/>
        <v>0</v>
      </c>
      <c r="K49" s="1287">
        <f t="shared" si="15"/>
        <v>0</v>
      </c>
      <c r="L49" s="1287">
        <f t="shared" si="15"/>
        <v>0</v>
      </c>
      <c r="M49" s="1164"/>
      <c r="N49" s="1498"/>
      <c r="O49" s="1498"/>
      <c r="P49" s="1498"/>
      <c r="Q49" s="1498"/>
      <c r="R49" s="1498"/>
      <c r="S49" s="1498"/>
      <c r="T49" s="1498"/>
      <c r="U49" s="1498"/>
      <c r="V49" s="1498"/>
      <c r="W49" s="1498"/>
      <c r="X49" s="1498"/>
      <c r="Y49" s="1498"/>
      <c r="Z49" s="1498"/>
      <c r="AA49" s="1370">
        <f>IF(I49="T MS",H49,H49*0.085)</f>
        <v>0</v>
      </c>
      <c r="AF49" s="17"/>
      <c r="AG49" s="17"/>
      <c r="AH49" s="17" t="s">
        <v>60</v>
      </c>
      <c r="AI49" s="1105">
        <f>Paramètres!BD59</f>
        <v>102</v>
      </c>
      <c r="AJ49" s="1105">
        <f>Paramètres!BE59</f>
        <v>1.6</v>
      </c>
      <c r="AK49" s="1105">
        <f>Paramètres!BF59</f>
        <v>0.7</v>
      </c>
      <c r="AL49" s="1105">
        <f>Paramètres!BG59</f>
        <v>0.35</v>
      </c>
      <c r="AM49"/>
      <c r="AN49" s="1337">
        <f>AL49*H49</f>
        <v>0</v>
      </c>
    </row>
    <row r="50" spans="1:40" x14ac:dyDescent="0.2">
      <c r="A50" s="1164"/>
      <c r="B50" s="1164"/>
      <c r="C50" s="4"/>
      <c r="D50" s="1164"/>
      <c r="E50" s="1164"/>
      <c r="F50" s="1164"/>
      <c r="G50" s="1164"/>
      <c r="H50" s="1907"/>
      <c r="I50" s="1164"/>
      <c r="J50" s="1256"/>
      <c r="K50" s="1256"/>
      <c r="L50" s="1256"/>
      <c r="M50" s="1164"/>
      <c r="N50" s="1498"/>
      <c r="O50" s="1498"/>
      <c r="P50" s="1498"/>
      <c r="Q50" s="1498"/>
      <c r="R50" s="1498"/>
      <c r="S50" s="1498"/>
      <c r="T50" s="1498"/>
      <c r="U50" s="1498"/>
      <c r="V50" s="1498"/>
      <c r="W50" s="1498"/>
      <c r="X50" s="1498"/>
      <c r="Y50" s="1498"/>
      <c r="Z50" s="1498"/>
      <c r="AJ50"/>
      <c r="AK50"/>
      <c r="AL50"/>
      <c r="AM50"/>
      <c r="AN50"/>
    </row>
    <row r="51" spans="1:40" ht="15.75" x14ac:dyDescent="0.25">
      <c r="A51" s="1273" t="s">
        <v>223</v>
      </c>
      <c r="B51" s="1164"/>
      <c r="C51" s="1164"/>
      <c r="D51" s="1164"/>
      <c r="E51" s="1164"/>
      <c r="F51" s="1164"/>
      <c r="G51" s="1164"/>
      <c r="H51" s="1908" t="s">
        <v>1476</v>
      </c>
      <c r="I51" s="1164"/>
      <c r="J51" s="1324" t="s">
        <v>219</v>
      </c>
      <c r="K51" s="1324" t="s">
        <v>220</v>
      </c>
      <c r="L51" s="1324" t="s">
        <v>221</v>
      </c>
      <c r="M51" s="1164"/>
      <c r="N51" s="1498"/>
      <c r="O51" s="1498"/>
      <c r="P51" s="1498"/>
      <c r="Q51" s="1498"/>
      <c r="R51" s="1498"/>
      <c r="S51" s="1498"/>
      <c r="T51" s="1498"/>
      <c r="U51" s="1498"/>
      <c r="V51" s="1498"/>
      <c r="W51" s="1498"/>
      <c r="X51" s="1498"/>
      <c r="Y51" s="1498"/>
      <c r="Z51" s="1498"/>
      <c r="AJ51"/>
      <c r="AK51"/>
      <c r="AL51"/>
      <c r="AM51" s="1949" t="s">
        <v>754</v>
      </c>
      <c r="AN51" s="1337">
        <f>SUM(AN7:AN49)</f>
        <v>17811.690000000002</v>
      </c>
    </row>
    <row r="52" spans="1:40" x14ac:dyDescent="0.2">
      <c r="A52" s="1164"/>
      <c r="B52" s="1164" t="s">
        <v>230</v>
      </c>
      <c r="C52" s="7"/>
      <c r="D52" s="1164"/>
      <c r="E52" s="1164"/>
      <c r="F52" s="1164"/>
      <c r="G52" s="1164"/>
      <c r="H52" s="1906">
        <f>H6+H13+H20+SUM(H26:H36)</f>
        <v>603.05500000000006</v>
      </c>
      <c r="I52" s="1279"/>
      <c r="J52" s="1257">
        <f>SUM(J6:J36)</f>
        <v>493153.60000000003</v>
      </c>
      <c r="K52" s="1257">
        <f>SUM(K6:K36)</f>
        <v>12275.595000000001</v>
      </c>
      <c r="L52" s="1257">
        <f>SUM(L6:L36)</f>
        <v>3702.6275000000001</v>
      </c>
      <c r="M52" s="1164"/>
      <c r="N52" s="1498"/>
      <c r="O52" s="1498"/>
      <c r="P52" s="1498"/>
      <c r="Q52" s="1498"/>
      <c r="R52" s="1498"/>
      <c r="S52" s="1498"/>
      <c r="T52" s="1498"/>
      <c r="U52" s="1498"/>
      <c r="V52" s="1498"/>
      <c r="W52" s="1498"/>
      <c r="X52" s="1498"/>
      <c r="Y52" s="1498"/>
      <c r="Z52" s="1498"/>
      <c r="AI52" s="576"/>
    </row>
    <row r="53" spans="1:40" x14ac:dyDescent="0.2">
      <c r="A53" s="1164"/>
      <c r="B53" s="1164" t="s">
        <v>229</v>
      </c>
      <c r="C53" s="1164"/>
      <c r="D53" s="1164"/>
      <c r="E53" s="1164"/>
      <c r="F53" s="1164"/>
      <c r="G53" s="1164"/>
      <c r="H53" s="1906">
        <f>SUM(H38:H41)*0.085+SUM(H42:H43)</f>
        <v>9.3500000000000014</v>
      </c>
      <c r="I53" s="1279"/>
      <c r="J53" s="1257">
        <f>SUM(J38:J43)</f>
        <v>11330</v>
      </c>
      <c r="K53" s="1257">
        <f>SUM(K38:K43)</f>
        <v>440</v>
      </c>
      <c r="L53" s="1257">
        <f>SUM(L38:L43)</f>
        <v>88</v>
      </c>
      <c r="M53" s="1164"/>
      <c r="N53" s="1498"/>
      <c r="O53" s="1498"/>
      <c r="P53" s="1498"/>
      <c r="Q53" s="1498"/>
      <c r="R53" s="1498"/>
      <c r="S53" s="1498"/>
      <c r="T53" s="1498"/>
      <c r="U53" s="1498"/>
      <c r="V53" s="1498"/>
      <c r="W53" s="1498"/>
      <c r="X53" s="1498"/>
      <c r="Y53" s="1498"/>
      <c r="Z53" s="1498"/>
      <c r="AI53" s="576"/>
    </row>
    <row r="54" spans="1:40" x14ac:dyDescent="0.2">
      <c r="A54" s="1164"/>
      <c r="B54" s="1164" t="s">
        <v>224</v>
      </c>
      <c r="C54" s="1164"/>
      <c r="D54" s="1164"/>
      <c r="E54" s="1164"/>
      <c r="F54" s="1164"/>
      <c r="G54" s="1164"/>
      <c r="H54" s="1906">
        <f>SUM(H45:H49)*0.085</f>
        <v>29.750000000000004</v>
      </c>
      <c r="I54" s="1279"/>
      <c r="J54" s="1257">
        <f>SUM(J45:J49)</f>
        <v>36750</v>
      </c>
      <c r="K54" s="1257">
        <f>SUM(K45:K49)</f>
        <v>630</v>
      </c>
      <c r="L54" s="1257">
        <f>SUM(L45:L49)</f>
        <v>227.5</v>
      </c>
      <c r="M54" s="1164"/>
      <c r="N54" s="1498"/>
      <c r="O54" s="1498"/>
      <c r="P54" s="1498"/>
      <c r="Q54" s="1498"/>
      <c r="R54" s="1498"/>
      <c r="S54" s="1498"/>
      <c r="T54" s="1498"/>
      <c r="U54" s="1498"/>
      <c r="V54" s="1498"/>
      <c r="W54" s="1498"/>
      <c r="X54" s="1498"/>
      <c r="Y54" s="1498"/>
      <c r="Z54" s="1498"/>
    </row>
    <row r="55" spans="1:40" ht="15.75" x14ac:dyDescent="0.25">
      <c r="A55" s="1164"/>
      <c r="B55" s="1273" t="s">
        <v>231</v>
      </c>
      <c r="C55" s="1273"/>
      <c r="D55" s="1273"/>
      <c r="E55" s="1273"/>
      <c r="F55" s="1273"/>
      <c r="G55" s="1273"/>
      <c r="H55" s="1909">
        <f>SUM(H52:H54)</f>
        <v>642.15500000000009</v>
      </c>
      <c r="I55" s="1484"/>
      <c r="J55" s="1290">
        <f>SUM(J52:J54)</f>
        <v>541233.60000000009</v>
      </c>
      <c r="K55" s="1290">
        <f>SUM(K52:K54)</f>
        <v>13345.595000000001</v>
      </c>
      <c r="L55" s="1290">
        <f>SUM(L52:L54)</f>
        <v>4018.1275000000001</v>
      </c>
      <c r="M55" s="1164"/>
      <c r="N55" s="1498"/>
      <c r="O55" s="1498"/>
      <c r="P55" s="1498"/>
      <c r="Q55" s="1498"/>
      <c r="R55" s="1498"/>
      <c r="S55" s="1498"/>
      <c r="T55" s="1498"/>
      <c r="U55" s="1498"/>
      <c r="V55" s="1498"/>
      <c r="W55" s="1498"/>
      <c r="X55" s="1498"/>
      <c r="Y55" s="1498"/>
      <c r="Z55" s="1498"/>
    </row>
    <row r="56" spans="1:40" ht="13.5" thickBot="1" x14ac:dyDescent="0.25">
      <c r="A56" s="1174"/>
      <c r="B56" s="1174"/>
      <c r="C56" s="1174"/>
      <c r="D56" s="1174"/>
      <c r="E56" s="1174"/>
      <c r="F56" s="1174"/>
      <c r="G56" s="1174"/>
      <c r="H56" s="1174"/>
      <c r="I56" s="1174"/>
      <c r="J56" s="1174"/>
      <c r="K56" s="1174"/>
      <c r="L56" s="1174"/>
      <c r="M56" s="1174"/>
      <c r="N56" s="1498"/>
      <c r="O56" s="1498"/>
      <c r="P56" s="1498"/>
      <c r="Q56" s="1498"/>
      <c r="R56" s="1498"/>
      <c r="S56" s="1498"/>
      <c r="T56" s="1498"/>
      <c r="U56" s="1498"/>
      <c r="V56" s="1498"/>
      <c r="W56" s="1498"/>
      <c r="X56" s="1498"/>
      <c r="Y56" s="1498"/>
      <c r="Z56" s="1498"/>
    </row>
    <row r="57" spans="1:40" ht="5.0999999999999996" customHeight="1" thickTop="1" x14ac:dyDescent="0.2">
      <c r="A57" s="1164"/>
      <c r="B57" s="1164"/>
      <c r="C57" s="1164"/>
      <c r="D57" s="1164"/>
      <c r="E57" s="1164"/>
      <c r="F57" s="1164"/>
      <c r="G57" s="1164"/>
      <c r="H57" s="1164"/>
      <c r="I57" s="1164"/>
      <c r="J57" s="1164"/>
      <c r="K57" s="1164"/>
      <c r="L57" s="1164"/>
      <c r="M57" s="1164"/>
      <c r="N57" s="1498"/>
      <c r="O57" s="1498"/>
      <c r="P57" s="1498"/>
      <c r="Q57" s="1498"/>
      <c r="R57" s="1498"/>
      <c r="S57" s="1498"/>
      <c r="T57" s="1498"/>
      <c r="U57" s="1498"/>
      <c r="V57" s="1498"/>
      <c r="W57" s="1498"/>
      <c r="X57" s="1498"/>
      <c r="Y57" s="1498"/>
      <c r="Z57" s="1498"/>
    </row>
    <row r="58" spans="1:40" ht="18" customHeight="1" thickBot="1" x14ac:dyDescent="0.35">
      <c r="A58" s="1274" t="s">
        <v>309</v>
      </c>
      <c r="B58" s="1164"/>
      <c r="C58" s="1164"/>
      <c r="D58" s="1164"/>
      <c r="E58" s="1164"/>
      <c r="F58" s="1260"/>
      <c r="G58" s="1164"/>
      <c r="H58" s="3290" t="s">
        <v>62</v>
      </c>
      <c r="I58" s="3290"/>
      <c r="J58" s="3290"/>
      <c r="K58" s="3290"/>
      <c r="L58" s="3290"/>
      <c r="M58" s="1164"/>
      <c r="N58" s="1498"/>
      <c r="O58" s="1498"/>
      <c r="P58" s="1498"/>
      <c r="Q58" s="1498"/>
      <c r="R58" s="1498"/>
      <c r="S58" s="1498"/>
      <c r="T58" s="1498"/>
      <c r="U58" s="1498"/>
      <c r="V58" s="1498"/>
      <c r="W58" s="1498"/>
      <c r="X58" s="1498"/>
      <c r="Y58" s="1498"/>
      <c r="Z58" s="1498"/>
    </row>
    <row r="59" spans="1:40" ht="12.75" customHeight="1" x14ac:dyDescent="0.25">
      <c r="A59" s="1273"/>
      <c r="B59" s="1164"/>
      <c r="C59" s="1164"/>
      <c r="D59" s="1164"/>
      <c r="E59" s="1164"/>
      <c r="F59" s="1260"/>
      <c r="G59" s="1164"/>
      <c r="H59" s="1322" t="s">
        <v>63</v>
      </c>
      <c r="I59" s="1322"/>
      <c r="J59" s="1322" t="s">
        <v>244</v>
      </c>
      <c r="K59" s="1322" t="s">
        <v>244</v>
      </c>
      <c r="L59" s="1322" t="s">
        <v>244</v>
      </c>
      <c r="M59" s="1164"/>
      <c r="N59" s="1498"/>
      <c r="O59" s="1498"/>
      <c r="P59" s="1498"/>
      <c r="Q59" s="1498"/>
      <c r="R59" s="1498"/>
      <c r="S59" s="1498"/>
      <c r="T59" s="1498"/>
      <c r="U59" s="1498"/>
      <c r="V59" s="1498"/>
      <c r="W59" s="1498"/>
      <c r="X59" s="1498"/>
      <c r="Y59" s="1498"/>
      <c r="Z59" s="1498"/>
      <c r="AA59" s="1283" t="s">
        <v>452</v>
      </c>
      <c r="AB59" s="17"/>
      <c r="AC59" s="712" t="s">
        <v>539</v>
      </c>
      <c r="AD59" s="712" t="s">
        <v>541</v>
      </c>
      <c r="AE59" s="17" t="s">
        <v>314</v>
      </c>
    </row>
    <row r="60" spans="1:40" ht="12.75" customHeight="1" x14ac:dyDescent="0.25">
      <c r="A60" s="1273"/>
      <c r="B60" s="1164"/>
      <c r="C60" s="1164"/>
      <c r="D60" s="1164"/>
      <c r="E60" s="1164"/>
      <c r="F60" s="1260"/>
      <c r="G60" s="1164"/>
      <c r="H60" s="1322" t="s">
        <v>64</v>
      </c>
      <c r="I60" s="1322"/>
      <c r="J60" s="1322"/>
      <c r="K60" s="1322"/>
      <c r="L60" s="1322"/>
      <c r="M60" s="1164"/>
      <c r="N60" s="1498"/>
      <c r="O60" s="1498"/>
      <c r="P60" s="1498"/>
      <c r="Q60" s="1498"/>
      <c r="R60" s="1498"/>
      <c r="S60" s="1498"/>
      <c r="T60" s="1498"/>
      <c r="U60" s="1498"/>
      <c r="V60" s="1498"/>
      <c r="W60" s="1498"/>
      <c r="X60" s="1498"/>
      <c r="Y60" s="1498"/>
      <c r="Z60" s="1498"/>
      <c r="AA60" s="17" t="s">
        <v>540</v>
      </c>
      <c r="AB60" s="17">
        <f>-0.0000006*F62^2+0.0283*F62+468.13</f>
        <v>632.82600000000002</v>
      </c>
      <c r="AC60" s="17"/>
      <c r="AD60" s="17"/>
      <c r="AE60" s="17"/>
    </row>
    <row r="61" spans="1:40" x14ac:dyDescent="0.2">
      <c r="A61" s="1164"/>
      <c r="B61" s="1259" t="s">
        <v>413</v>
      </c>
      <c r="C61" s="1164"/>
      <c r="D61" s="1260" t="s">
        <v>327</v>
      </c>
      <c r="E61" s="1260"/>
      <c r="F61" s="1164"/>
      <c r="G61" s="1164"/>
      <c r="H61" s="1324" t="s">
        <v>81</v>
      </c>
      <c r="I61" s="1324"/>
      <c r="J61" s="1324" t="s">
        <v>219</v>
      </c>
      <c r="K61" s="1324" t="s">
        <v>220</v>
      </c>
      <c r="L61" s="1324" t="s">
        <v>221</v>
      </c>
      <c r="M61" s="1164"/>
      <c r="N61" s="1498"/>
      <c r="O61" s="1498"/>
      <c r="P61" s="1498"/>
      <c r="Q61" s="1498"/>
      <c r="R61" s="1498"/>
      <c r="S61" s="1498"/>
      <c r="T61" s="1498"/>
      <c r="U61" s="1498"/>
      <c r="V61" s="1498"/>
      <c r="W61" s="1498"/>
      <c r="X61" s="1498"/>
      <c r="Y61" s="1498"/>
      <c r="Z61" s="1498"/>
      <c r="AA61" s="17" t="s">
        <v>538</v>
      </c>
      <c r="AB61" s="1308">
        <f>Paramètres!BC65</f>
        <v>570</v>
      </c>
      <c r="AC61" s="1559">
        <f>Paramètres!BD65</f>
        <v>0.55400000000000005</v>
      </c>
      <c r="AD61" s="1308">
        <f>Paramètres!BE65</f>
        <v>3.57</v>
      </c>
      <c r="AE61" s="1308">
        <f>Paramètres!BF65</f>
        <v>-1.04</v>
      </c>
    </row>
    <row r="62" spans="1:40" x14ac:dyDescent="0.2">
      <c r="A62" s="1164"/>
      <c r="B62" s="1164"/>
      <c r="C62" s="4" t="s">
        <v>179</v>
      </c>
      <c r="D62" s="1176">
        <f>VL_NbVaches</f>
        <v>51</v>
      </c>
      <c r="E62" s="1256" t="s">
        <v>537</v>
      </c>
      <c r="F62" s="1262">
        <f>VL_Litrage</f>
        <v>6800</v>
      </c>
      <c r="G62" s="1164" t="s">
        <v>311</v>
      </c>
      <c r="H62" s="1287">
        <f>D62*(AB61+AC61*F62+AD61*AB60+AE61*AVL_Conc)</f>
        <v>278071.82981999998</v>
      </c>
      <c r="I62" s="1164"/>
      <c r="J62" s="1287">
        <f>D62*(AB62+AD62*AB60+AC62*F62)</f>
        <v>263001.33594000002</v>
      </c>
      <c r="K62" s="1287">
        <f>D62*(AD63*AB60+AC63*F62)</f>
        <v>7080.2072786999997</v>
      </c>
      <c r="L62" s="1287">
        <f>D62*(AB64+AC64*F62)</f>
        <v>2461.2600000000002</v>
      </c>
      <c r="M62" s="1164"/>
      <c r="N62" s="1498"/>
      <c r="O62" s="1825"/>
      <c r="P62" s="1498"/>
      <c r="Q62" s="1498"/>
      <c r="R62" s="1498"/>
      <c r="S62" s="1498"/>
      <c r="T62" s="1498"/>
      <c r="U62" s="1498"/>
      <c r="V62" s="1498"/>
      <c r="W62" s="1498"/>
      <c r="X62" s="1498"/>
      <c r="Y62" s="1498"/>
      <c r="Z62" s="1498"/>
      <c r="AA62" s="17" t="s">
        <v>219</v>
      </c>
      <c r="AB62" s="1308">
        <f>Paramètres!BC66</f>
        <v>711</v>
      </c>
      <c r="AC62" s="1559">
        <f>Paramètres!BD66</f>
        <v>0.45</v>
      </c>
      <c r="AD62" s="1308">
        <f>Paramètres!BE66</f>
        <v>2.19</v>
      </c>
      <c r="AE62" s="1309"/>
    </row>
    <row r="63" spans="1:40" ht="5.0999999999999996" customHeight="1" x14ac:dyDescent="0.2">
      <c r="A63" s="1164"/>
      <c r="B63" s="1164"/>
      <c r="C63" s="4"/>
      <c r="D63" s="4"/>
      <c r="E63" s="4"/>
      <c r="F63" s="4"/>
      <c r="G63" s="4"/>
      <c r="H63" s="1305"/>
      <c r="I63" s="4"/>
      <c r="J63" s="4"/>
      <c r="K63" s="4"/>
      <c r="L63" s="4"/>
      <c r="M63" s="1164"/>
      <c r="N63" s="1498"/>
      <c r="O63" s="1498"/>
      <c r="P63" s="1498"/>
      <c r="Q63" s="1498"/>
      <c r="R63" s="1498"/>
      <c r="S63" s="1498"/>
      <c r="T63" s="1498"/>
      <c r="U63" s="1498"/>
      <c r="V63" s="1498"/>
      <c r="W63" s="1498"/>
      <c r="X63" s="1498"/>
      <c r="Y63" s="1498"/>
      <c r="Z63" s="1498"/>
      <c r="AA63" s="17" t="s">
        <v>625</v>
      </c>
      <c r="AB63" s="1309"/>
      <c r="AC63" s="1559">
        <f>Paramètres!BD67</f>
        <v>1.6E-2</v>
      </c>
      <c r="AD63" s="1308">
        <f>Paramètres!BE67</f>
        <v>4.7449999999999999E-2</v>
      </c>
      <c r="AE63" s="1309"/>
    </row>
    <row r="64" spans="1:40" x14ac:dyDescent="0.2">
      <c r="A64" s="1164"/>
      <c r="B64" s="1164"/>
      <c r="C64" s="4"/>
      <c r="D64" s="4"/>
      <c r="E64" s="1476" t="s">
        <v>1054</v>
      </c>
      <c r="F64" s="1262">
        <f>AVL_Conc</f>
        <v>1100</v>
      </c>
      <c r="G64" s="4"/>
      <c r="H64" s="1305"/>
      <c r="I64" s="4"/>
      <c r="J64" s="4"/>
      <c r="K64" s="4"/>
      <c r="L64" s="4"/>
      <c r="M64" s="1164"/>
      <c r="N64" s="1498"/>
      <c r="O64" s="1806"/>
      <c r="P64" s="1498"/>
      <c r="Q64" s="1498"/>
      <c r="R64" s="1498"/>
      <c r="S64" s="1498"/>
      <c r="T64" s="1498"/>
      <c r="U64" s="1498"/>
      <c r="V64" s="1498"/>
      <c r="W64" s="1498"/>
      <c r="X64" s="1498"/>
      <c r="Y64" s="1498"/>
      <c r="Z64" s="1498"/>
      <c r="AA64" s="17" t="s">
        <v>187</v>
      </c>
      <c r="AB64" s="1308">
        <f>Paramètres!BC68</f>
        <v>26.5</v>
      </c>
      <c r="AC64" s="1308">
        <f>Paramètres!BD68</f>
        <v>3.2000000000000002E-3</v>
      </c>
      <c r="AD64" s="1309"/>
      <c r="AE64" s="1309"/>
    </row>
    <row r="65" spans="1:58" ht="5.0999999999999996" customHeight="1" x14ac:dyDescent="0.2">
      <c r="A65" s="1164"/>
      <c r="B65" s="1164"/>
      <c r="C65" s="4"/>
      <c r="D65" s="4"/>
      <c r="E65" s="4"/>
      <c r="F65" s="4"/>
      <c r="G65" s="4"/>
      <c r="H65" s="1305"/>
      <c r="I65" s="4"/>
      <c r="J65" s="4"/>
      <c r="K65" s="4"/>
      <c r="L65" s="4"/>
      <c r="M65" s="1164"/>
      <c r="N65" s="1498"/>
      <c r="O65" s="1498"/>
      <c r="P65" s="1498"/>
      <c r="Q65" s="1498"/>
      <c r="R65" s="1498"/>
      <c r="S65" s="1498"/>
      <c r="T65" s="1498"/>
      <c r="U65" s="1498"/>
      <c r="V65" s="1498"/>
      <c r="W65" s="1498"/>
      <c r="X65" s="1498"/>
      <c r="Y65" s="1498"/>
      <c r="Z65" s="1498"/>
    </row>
    <row r="66" spans="1:58" x14ac:dyDescent="0.2">
      <c r="A66" s="1164"/>
      <c r="B66" s="1164"/>
      <c r="C66" s="7" t="s">
        <v>542</v>
      </c>
      <c r="D66" s="1176">
        <f>VL_NbGenAn1</f>
        <v>16</v>
      </c>
      <c r="E66" s="1256" t="s">
        <v>535</v>
      </c>
      <c r="F66" s="1176" t="str">
        <f>IF(VL_TypeVela=1,"Précoce",IF(VL_TypeVela=2,"tardif",""))</f>
        <v>Précoce</v>
      </c>
      <c r="G66" s="1164"/>
      <c r="H66" s="1287">
        <f>D66*IF(VL_TypeVela=1,AJ68,IF(VL_TypeVela=2,AK68,0))</f>
        <v>25600</v>
      </c>
      <c r="I66" s="1164"/>
      <c r="J66" s="1287">
        <f>D66*IF(VL_TypeVela=1,AJ69,IF(VL_TypeVela=2,AK69,0))</f>
        <v>20800</v>
      </c>
      <c r="K66" s="1287">
        <f>D66*IF(VL_TypeVela=1,AJ70,IF(VL_TypeVela=2,AK70,0))</f>
        <v>656</v>
      </c>
      <c r="L66" s="1287">
        <f>D66*IF(VL_TypeVela=1,AJ71,IF(VL_TypeVela=2,AK71,0))</f>
        <v>208</v>
      </c>
      <c r="M66" s="1164"/>
      <c r="N66" s="1498"/>
      <c r="O66" s="1498"/>
      <c r="P66" s="1498"/>
      <c r="Q66" s="1498"/>
      <c r="R66" s="1498"/>
      <c r="S66" s="1498"/>
      <c r="T66" s="1498"/>
      <c r="U66" s="1498"/>
      <c r="V66" s="1498"/>
      <c r="W66" s="1498"/>
      <c r="X66" s="1498"/>
      <c r="Y66" s="1498"/>
      <c r="Z66" s="1498"/>
    </row>
    <row r="67" spans="1:58" x14ac:dyDescent="0.2">
      <c r="A67" s="1164"/>
      <c r="B67" s="1164"/>
      <c r="C67" s="7" t="s">
        <v>547</v>
      </c>
      <c r="D67" s="1176">
        <f>VL_NbGenAn2</f>
        <v>16</v>
      </c>
      <c r="E67" s="1256" t="s">
        <v>536</v>
      </c>
      <c r="F67" s="1176">
        <f>IF(VL_TypeVela=1,VL_AgeVelPre,"")</f>
        <v>30</v>
      </c>
      <c r="G67" s="1164" t="s">
        <v>175</v>
      </c>
      <c r="H67" s="1287">
        <f>D67*IF(VL_TypeVela=1,AR68,IF(VL_TypeVela=2,AS68,0))</f>
        <v>44800</v>
      </c>
      <c r="I67" s="1164"/>
      <c r="J67" s="1287">
        <f>D67*IF(VL_TypeVela=1,AR69,IF(VL_TypeVela=2,AS69,0))</f>
        <v>36800</v>
      </c>
      <c r="K67" s="1287">
        <f>D67*IF(VL_TypeVela=1,AR70,IF(VL_TypeVela=2,AS70,0))</f>
        <v>1168</v>
      </c>
      <c r="L67" s="1287">
        <f>D67*IF(VL_TypeVela=1,AR71,IF(VL_TypeVela=2,AS71,0))</f>
        <v>272</v>
      </c>
      <c r="M67" s="1164"/>
      <c r="N67" s="1498"/>
      <c r="O67" s="1498"/>
      <c r="P67" s="1498"/>
      <c r="Q67" s="1498"/>
      <c r="R67" s="1498"/>
      <c r="S67" s="1498"/>
      <c r="T67" s="1498"/>
      <c r="U67" s="1498"/>
      <c r="V67" s="1498"/>
      <c r="W67" s="1498"/>
      <c r="X67" s="1498"/>
      <c r="Y67" s="1498"/>
      <c r="Z67" s="1498"/>
      <c r="AA67" s="1283" t="s">
        <v>379</v>
      </c>
      <c r="AB67" s="712" t="s">
        <v>935</v>
      </c>
      <c r="AC67" s="712" t="s">
        <v>936</v>
      </c>
      <c r="AD67" s="712" t="s">
        <v>937</v>
      </c>
      <c r="AI67" s="17" t="s">
        <v>543</v>
      </c>
      <c r="AJ67" s="712" t="s">
        <v>926</v>
      </c>
      <c r="AK67" s="712" t="s">
        <v>927</v>
      </c>
      <c r="AL67"/>
      <c r="AM67"/>
      <c r="AQ67" s="712" t="s">
        <v>544</v>
      </c>
      <c r="AR67" s="712" t="s">
        <v>926</v>
      </c>
      <c r="AS67" s="712" t="s">
        <v>927</v>
      </c>
      <c r="AV67" s="17" t="s">
        <v>545</v>
      </c>
      <c r="AW67" s="712" t="s">
        <v>546</v>
      </c>
      <c r="AX67" s="712" t="s">
        <v>927</v>
      </c>
    </row>
    <row r="68" spans="1:58" x14ac:dyDescent="0.2">
      <c r="A68" s="1164"/>
      <c r="B68" s="1164"/>
      <c r="C68" s="7" t="s">
        <v>548</v>
      </c>
      <c r="D68" s="1176">
        <f>VL_NbGenAn3</f>
        <v>15</v>
      </c>
      <c r="E68" s="1164"/>
      <c r="F68" s="1164"/>
      <c r="G68" s="1164"/>
      <c r="H68" s="1287">
        <f>D68*IF(VL_TypeVela=1,AW68*(F67-24),IF(VL_TypeVela=2,AX68,0))</f>
        <v>29947.5</v>
      </c>
      <c r="I68" s="1164"/>
      <c r="J68" s="1287">
        <f>D68*IF(VL_TypeVela=1,AW69*(F67-24),IF(VL_TypeVela=2,AX69,0))</f>
        <v>21780</v>
      </c>
      <c r="K68" s="1287">
        <f>D68*IF(VL_TypeVela=1,AW70*(F67-24),IF(VL_TypeVela=2,AX70,0))</f>
        <v>782.99999999999989</v>
      </c>
      <c r="L68" s="1287">
        <f>D68*IF(VL_TypeVela=1,AW71*(F67-24),IF(VL_TypeVela=2,AX71,0))</f>
        <v>135</v>
      </c>
      <c r="M68" s="1164"/>
      <c r="N68" s="1498"/>
      <c r="O68" s="1498"/>
      <c r="P68" s="1498"/>
      <c r="Q68" s="1498"/>
      <c r="R68" s="1498"/>
      <c r="S68" s="1498"/>
      <c r="T68" s="1498"/>
      <c r="U68" s="1498"/>
      <c r="V68" s="1498"/>
      <c r="W68" s="1498"/>
      <c r="X68" s="1498"/>
      <c r="Y68" s="1498"/>
      <c r="Z68" s="1498"/>
      <c r="AA68" s="17" t="s">
        <v>538</v>
      </c>
      <c r="AB68" s="1308">
        <f>Paramètres!BC97</f>
        <v>4900</v>
      </c>
      <c r="AC68" s="1308">
        <f>Paramètres!BD97</f>
        <v>5200</v>
      </c>
      <c r="AD68" s="1308">
        <f>Paramètres!BE97</f>
        <v>5500</v>
      </c>
      <c r="AI68" s="17" t="s">
        <v>538</v>
      </c>
      <c r="AJ68" s="1308">
        <f>Paramètres!BC73</f>
        <v>1600</v>
      </c>
      <c r="AK68" s="1308">
        <f>Paramètres!BD73</f>
        <v>1200</v>
      </c>
      <c r="AL68"/>
      <c r="AM68"/>
      <c r="AQ68" s="712" t="s">
        <v>538</v>
      </c>
      <c r="AR68" s="1308">
        <f>Paramètres!BC81</f>
        <v>2800</v>
      </c>
      <c r="AS68" s="1308">
        <f>Paramètres!BD81</f>
        <v>2600</v>
      </c>
      <c r="AV68" s="17" t="s">
        <v>538</v>
      </c>
      <c r="AW68" s="1308">
        <f>Paramètres!BC89</f>
        <v>332.75</v>
      </c>
      <c r="AX68" s="1308">
        <f>Paramètres!BD89</f>
        <v>3200</v>
      </c>
    </row>
    <row r="69" spans="1:58" x14ac:dyDescent="0.2">
      <c r="A69" s="1164"/>
      <c r="B69" s="1164"/>
      <c r="C69" s="1164"/>
      <c r="D69" s="1164"/>
      <c r="E69" s="1164"/>
      <c r="F69" s="1164"/>
      <c r="G69" s="1164"/>
      <c r="H69" s="1306"/>
      <c r="I69" s="1164"/>
      <c r="J69" s="1164"/>
      <c r="K69" s="1164"/>
      <c r="L69" s="1164"/>
      <c r="M69" s="1164"/>
      <c r="N69" s="1498"/>
      <c r="O69" s="1498"/>
      <c r="P69" s="1498"/>
      <c r="Q69" s="1498"/>
      <c r="R69" s="1498"/>
      <c r="S69" s="1498"/>
      <c r="T69" s="1498"/>
      <c r="U69" s="1498"/>
      <c r="V69" s="1498"/>
      <c r="W69" s="1498"/>
      <c r="X69" s="1498"/>
      <c r="Y69" s="1498"/>
      <c r="Z69" s="1498"/>
      <c r="AA69" s="17" t="s">
        <v>219</v>
      </c>
      <c r="AB69" s="1308">
        <f>Paramètres!BC98</f>
        <v>4000</v>
      </c>
      <c r="AC69" s="1308">
        <f>Paramètres!BD98</f>
        <v>4100</v>
      </c>
      <c r="AD69" s="1308">
        <f>Paramètres!BE98</f>
        <v>4400</v>
      </c>
      <c r="AI69" s="17" t="s">
        <v>219</v>
      </c>
      <c r="AJ69" s="1308">
        <f>Paramètres!BC74</f>
        <v>1300</v>
      </c>
      <c r="AK69" s="1308">
        <f>Paramètres!BD74</f>
        <v>1000</v>
      </c>
      <c r="AL69"/>
      <c r="AM69"/>
      <c r="AQ69" s="712" t="s">
        <v>219</v>
      </c>
      <c r="AR69" s="1308">
        <f>Paramètres!BC82</f>
        <v>2300</v>
      </c>
      <c r="AS69" s="1308">
        <f>Paramètres!BD82</f>
        <v>2000</v>
      </c>
      <c r="AV69" s="17" t="s">
        <v>219</v>
      </c>
      <c r="AW69" s="1308">
        <f>Paramètres!BC90</f>
        <v>242</v>
      </c>
      <c r="AX69" s="1308">
        <f>Paramètres!BD90</f>
        <v>2200</v>
      </c>
    </row>
    <row r="70" spans="1:58" x14ac:dyDescent="0.2">
      <c r="A70" s="1164"/>
      <c r="B70" s="1259" t="s">
        <v>416</v>
      </c>
      <c r="C70" s="1164"/>
      <c r="D70" s="1164"/>
      <c r="E70" s="1164"/>
      <c r="F70" s="1164"/>
      <c r="G70" s="1164"/>
      <c r="H70" s="1324" t="s">
        <v>81</v>
      </c>
      <c r="I70" s="1324"/>
      <c r="J70" s="1324" t="s">
        <v>219</v>
      </c>
      <c r="K70" s="1324" t="s">
        <v>220</v>
      </c>
      <c r="L70" s="1324" t="s">
        <v>221</v>
      </c>
      <c r="M70" s="1164"/>
      <c r="N70" s="1498"/>
      <c r="O70" s="1498"/>
      <c r="P70" s="1498"/>
      <c r="Q70" s="1498"/>
      <c r="R70" s="1498"/>
      <c r="S70" s="1498"/>
      <c r="T70" s="1498"/>
      <c r="U70" s="1498"/>
      <c r="V70" s="1498"/>
      <c r="W70" s="1498"/>
      <c r="X70" s="1498"/>
      <c r="Y70" s="1498"/>
      <c r="Z70" s="1498"/>
      <c r="AA70" s="17" t="s">
        <v>625</v>
      </c>
      <c r="AB70" s="1308">
        <f>Paramètres!BC99</f>
        <v>120</v>
      </c>
      <c r="AC70" s="1308">
        <f>Paramètres!BD99</f>
        <v>127</v>
      </c>
      <c r="AD70" s="1308">
        <f>Paramètres!BE99</f>
        <v>137</v>
      </c>
      <c r="AG70" s="1442"/>
      <c r="AI70" s="17" t="s">
        <v>625</v>
      </c>
      <c r="AJ70" s="1308">
        <f>Paramètres!BC75</f>
        <v>41</v>
      </c>
      <c r="AK70" s="1308">
        <f>Paramètres!BD75</f>
        <v>34</v>
      </c>
      <c r="AL70"/>
      <c r="AM70"/>
      <c r="AQ70" s="712" t="s">
        <v>625</v>
      </c>
      <c r="AR70" s="1308">
        <f>Paramètres!BC83</f>
        <v>73</v>
      </c>
      <c r="AS70" s="1308">
        <f>Paramètres!BD83</f>
        <v>68</v>
      </c>
      <c r="AV70" s="17" t="s">
        <v>625</v>
      </c>
      <c r="AW70" s="1308">
        <f>Paramètres!BC91</f>
        <v>8.6999999999999993</v>
      </c>
      <c r="AX70" s="1308">
        <f>Paramètres!BD91</f>
        <v>91</v>
      </c>
    </row>
    <row r="71" spans="1:58" x14ac:dyDescent="0.2">
      <c r="A71" s="1164"/>
      <c r="B71" s="1164"/>
      <c r="C71" s="1164" t="s">
        <v>293</v>
      </c>
      <c r="D71" s="1176">
        <f>TA_NbVaches</f>
        <v>22</v>
      </c>
      <c r="E71" s="1256" t="s">
        <v>549</v>
      </c>
      <c r="F71" s="1176" t="str">
        <f>IF(TA_FormVach=1,"léger",IF(TA_FormVach=2,"moyen",IF(TA_FormVach=3,"lourd","")))</f>
        <v>léger</v>
      </c>
      <c r="G71" s="1164"/>
      <c r="H71" s="1287">
        <f>IF($F71="",0,D71*HLOOKUP($F71,$AA$67:$AD$71,2,FALSE))</f>
        <v>107800</v>
      </c>
      <c r="I71" s="1164"/>
      <c r="J71" s="1287">
        <f>IF($F71="",0,D71*HLOOKUP($F71,$AA$67:$AD$71,3,FALSE))</f>
        <v>88000</v>
      </c>
      <c r="K71" s="1287">
        <f>IF($F71="",0,D71*HLOOKUP($F71,$AA$67:$AD$71,4,FALSE))</f>
        <v>2640</v>
      </c>
      <c r="L71" s="1287">
        <f>IF($F71="",0,D71*HLOOKUP($F71,$AA$67:$AD$71,5,FALSE))</f>
        <v>550</v>
      </c>
      <c r="M71" s="1164"/>
      <c r="N71" s="1483"/>
      <c r="O71" s="1498"/>
      <c r="P71" s="1498"/>
      <c r="Q71" s="1498"/>
      <c r="R71" s="1498"/>
      <c r="S71" s="1498"/>
      <c r="T71" s="1498"/>
      <c r="U71" s="1498"/>
      <c r="V71" s="1498"/>
      <c r="W71" s="1498"/>
      <c r="X71" s="1498"/>
      <c r="Y71" s="1498"/>
      <c r="Z71" s="1498"/>
      <c r="AA71" s="17" t="s">
        <v>187</v>
      </c>
      <c r="AB71" s="1308">
        <f>Paramètres!BC100</f>
        <v>25</v>
      </c>
      <c r="AC71" s="1308">
        <f>Paramètres!BD100</f>
        <v>26</v>
      </c>
      <c r="AD71" s="1308">
        <f>Paramètres!BE100</f>
        <v>28</v>
      </c>
      <c r="AI71" s="17" t="s">
        <v>187</v>
      </c>
      <c r="AJ71" s="1308">
        <f>Paramètres!BC76</f>
        <v>13</v>
      </c>
      <c r="AK71" s="1308">
        <f>Paramètres!BD76</f>
        <v>11</v>
      </c>
      <c r="AL71"/>
      <c r="AM71"/>
      <c r="AQ71" s="712" t="s">
        <v>187</v>
      </c>
      <c r="AR71" s="1308">
        <f>Paramètres!BC84</f>
        <v>17</v>
      </c>
      <c r="AS71" s="1308">
        <f>Paramètres!BD84</f>
        <v>15</v>
      </c>
      <c r="AV71" s="17" t="s">
        <v>187</v>
      </c>
      <c r="AW71" s="1308">
        <f>Paramètres!BC92</f>
        <v>1.5</v>
      </c>
      <c r="AX71" s="1308">
        <f>Paramètres!BD92</f>
        <v>17</v>
      </c>
    </row>
    <row r="72" spans="1:58" ht="5.0999999999999996" customHeight="1" x14ac:dyDescent="0.2">
      <c r="A72" s="1164"/>
      <c r="B72" s="1164"/>
      <c r="C72" s="1164"/>
      <c r="D72" s="1164"/>
      <c r="E72" s="1164"/>
      <c r="F72" s="1164"/>
      <c r="G72" s="1164"/>
      <c r="H72" s="1306"/>
      <c r="I72" s="1164"/>
      <c r="J72" s="1164"/>
      <c r="K72" s="1164"/>
      <c r="L72" s="1164"/>
      <c r="M72" s="1164"/>
      <c r="N72" s="1498"/>
      <c r="O72" s="1498"/>
      <c r="P72" s="1498"/>
      <c r="Q72" s="1498"/>
      <c r="R72" s="1498"/>
      <c r="S72" s="1498"/>
      <c r="T72" s="1498"/>
      <c r="U72" s="1498"/>
      <c r="V72" s="1498"/>
      <c r="W72" s="1498"/>
      <c r="X72" s="1498"/>
      <c r="Y72" s="1498"/>
      <c r="Z72" s="1498"/>
      <c r="AQ72" s="576"/>
    </row>
    <row r="73" spans="1:58" x14ac:dyDescent="0.2">
      <c r="A73" s="1164"/>
      <c r="B73" s="1164"/>
      <c r="C73" s="7" t="s">
        <v>515</v>
      </c>
      <c r="D73" s="1176">
        <f>TA_NbGenAn1</f>
        <v>10</v>
      </c>
      <c r="E73" s="1256" t="s">
        <v>549</v>
      </c>
      <c r="F73" s="1176" t="str">
        <f>IF(TA_FormGen=1,"léger",IF(TA_FormGen=2,"moyen",IF(TA_FormGen=3,"lourd","")))</f>
        <v>léger</v>
      </c>
      <c r="G73" s="1164"/>
      <c r="H73" s="1287">
        <f>IF($F73="",0,D73*HLOOKUP($F73,$AI$74:$AL$78,2,FALSE))+TA_NbGenAn1Ach*AN75+TA_NbGenAn1Vd*AO75</f>
        <v>9600</v>
      </c>
      <c r="I73" s="1164"/>
      <c r="J73" s="1287">
        <f>IF($F73="",0,D73*HLOOKUP($F73,$AI$74:$AL$78,3,FALSE))+TA_NbGenAn1Ach*AN76+TA_NbGenAn1Vd*AO76</f>
        <v>7380</v>
      </c>
      <c r="K73" s="1287">
        <f>IF($F73="",0,D73*HLOOKUP($F73,$AI$74:$AL$78,4,FALSE))+TA_NbGenAn1Ach*AN77+TA_NbGenAn1Vd*AO77</f>
        <v>252</v>
      </c>
      <c r="L73" s="1287">
        <f>IF($F73="",0,D73*HLOOKUP($F73,$AI$74:$AL$78,5,FALSE))+TA_NbGenAn1Ach*AN78+TA_NbGenAn1Vd*AO78</f>
        <v>78</v>
      </c>
      <c r="M73" s="1483"/>
      <c r="N73" s="1483"/>
      <c r="O73" s="1498"/>
      <c r="P73" s="1498"/>
      <c r="Q73" s="1498"/>
      <c r="R73" s="1498"/>
      <c r="S73" s="1498"/>
      <c r="T73" s="1498"/>
      <c r="U73" s="1498"/>
      <c r="V73" s="1498"/>
      <c r="W73" s="1826"/>
      <c r="X73" s="1498"/>
      <c r="Y73" s="1498"/>
      <c r="Z73" s="1498"/>
      <c r="AW73" s="1588" t="s">
        <v>69</v>
      </c>
      <c r="AX73" s="1589"/>
      <c r="AY73" s="1590"/>
      <c r="BA73" s="1705" t="s">
        <v>372</v>
      </c>
      <c r="BB73" s="1592"/>
      <c r="BC73" s="1593"/>
      <c r="BD73" s="1591" t="s">
        <v>373</v>
      </c>
      <c r="BE73" s="1592"/>
      <c r="BF73" s="1593"/>
    </row>
    <row r="74" spans="1:58" x14ac:dyDescent="0.2">
      <c r="A74" s="1164"/>
      <c r="B74" s="1164"/>
      <c r="C74" s="7" t="s">
        <v>516</v>
      </c>
      <c r="D74" s="1176">
        <f>TA_NbGenAn2</f>
        <v>6</v>
      </c>
      <c r="E74" s="1164"/>
      <c r="F74" s="1164"/>
      <c r="G74" s="1164"/>
      <c r="H74" s="1287">
        <f>IF($F73="",0,D74*HLOOKUP($F73,$AQ$74:$AT$78,2,FALSE))</f>
        <v>16200</v>
      </c>
      <c r="I74" s="1164"/>
      <c r="J74" s="1287">
        <f>IF($F73="",0,D74*HLOOKUP($F73,$AQ$74:$AT$78,3,FALSE))</f>
        <v>12000</v>
      </c>
      <c r="K74" s="1287">
        <f>IF($F73="",0,D74*HLOOKUP($F73,$AQ$74:$AT$78,4,FALSE))</f>
        <v>390</v>
      </c>
      <c r="L74" s="1287">
        <f>IF($F73="",0,D74*HLOOKUP($F73,$AQ$74:$AT$78,5,FALSE))</f>
        <v>72</v>
      </c>
      <c r="M74" s="1164"/>
      <c r="N74" s="1826"/>
      <c r="O74" s="1498"/>
      <c r="P74" s="1498"/>
      <c r="Q74" s="1498"/>
      <c r="R74" s="1498"/>
      <c r="S74" s="1498"/>
      <c r="T74" s="1498"/>
      <c r="U74" s="1498"/>
      <c r="V74" s="1498"/>
      <c r="W74" s="1826"/>
      <c r="X74" s="1498"/>
      <c r="Y74" s="1498"/>
      <c r="Z74" s="1498"/>
      <c r="AI74" s="1283" t="s">
        <v>66</v>
      </c>
      <c r="AJ74" s="712" t="s">
        <v>935</v>
      </c>
      <c r="AK74" s="712" t="s">
        <v>936</v>
      </c>
      <c r="AL74" s="712" t="s">
        <v>937</v>
      </c>
      <c r="AM74"/>
      <c r="AN74" s="1610" t="s">
        <v>1310</v>
      </c>
      <c r="AO74" s="1610" t="s">
        <v>1313</v>
      </c>
      <c r="AQ74" s="1283" t="s">
        <v>67</v>
      </c>
      <c r="AR74" s="712" t="s">
        <v>935</v>
      </c>
      <c r="AS74" s="712" t="s">
        <v>936</v>
      </c>
      <c r="AT74" s="712" t="s">
        <v>937</v>
      </c>
      <c r="AV74" s="1283" t="s">
        <v>68</v>
      </c>
      <c r="AW74" s="1296" t="s">
        <v>935</v>
      </c>
      <c r="AX74" s="1297" t="s">
        <v>936</v>
      </c>
      <c r="AY74" s="1298" t="s">
        <v>937</v>
      </c>
      <c r="BA74" s="846" t="s">
        <v>935</v>
      </c>
      <c r="BB74" s="847" t="s">
        <v>936</v>
      </c>
      <c r="BC74" s="848" t="s">
        <v>937</v>
      </c>
      <c r="BD74" s="846" t="s">
        <v>935</v>
      </c>
      <c r="BE74" s="847" t="s">
        <v>936</v>
      </c>
      <c r="BF74" s="848" t="s">
        <v>937</v>
      </c>
    </row>
    <row r="75" spans="1:58" x14ac:dyDescent="0.2">
      <c r="A75" s="1164"/>
      <c r="B75" s="1164"/>
      <c r="C75" s="7" t="s">
        <v>517</v>
      </c>
      <c r="D75" s="1176">
        <f>TA_NbGenAn3</f>
        <v>6</v>
      </c>
      <c r="E75" s="1256" t="s">
        <v>535</v>
      </c>
      <c r="F75" s="1176" t="str">
        <f>IF(TA_TypeVela=1,"30-33 mois",IF(TA_TypeVela=2,"36 mois",""))</f>
        <v>36 mois</v>
      </c>
      <c r="G75" s="1164"/>
      <c r="H75" s="1287">
        <f>IF($F75="",0,D75*HLOOKUP($F73,$AV$74:$AY$78,2,FALSE))</f>
        <v>20400</v>
      </c>
      <c r="I75" s="1164"/>
      <c r="J75" s="1287">
        <f>IF($F75="",0,D75*HLOOKUP($F73,$AV$74:$AY$78,3,FALSE))</f>
        <v>15600</v>
      </c>
      <c r="K75" s="1287">
        <f>IF($F75="",0,D75*HLOOKUP($F73,$AV$74:$AY$78,4,FALSE))</f>
        <v>486</v>
      </c>
      <c r="L75" s="1287">
        <f>IF($F75="",0,D75*HLOOKUP($F73,$AV$74:$AY$78,5,FALSE))</f>
        <v>90</v>
      </c>
      <c r="M75" s="1164"/>
      <c r="N75" s="1826"/>
      <c r="O75" s="1498"/>
      <c r="P75" s="1498"/>
      <c r="Q75" s="1498"/>
      <c r="R75" s="1498"/>
      <c r="S75" s="1498"/>
      <c r="T75" s="1498"/>
      <c r="U75" s="1498"/>
      <c r="V75" s="1498"/>
      <c r="W75" s="1498"/>
      <c r="X75" s="1498"/>
      <c r="Y75" s="1498"/>
      <c r="Z75" s="1498"/>
      <c r="AI75" s="17" t="s">
        <v>538</v>
      </c>
      <c r="AJ75" s="1308">
        <f>Paramètres!BC105</f>
        <v>1200</v>
      </c>
      <c r="AK75" s="1308">
        <f>Paramètres!BD105</f>
        <v>1300</v>
      </c>
      <c r="AL75" s="1308">
        <f>Paramètres!BE105</f>
        <v>1400</v>
      </c>
      <c r="AM75"/>
      <c r="AN75" s="1611">
        <f>Paramètres!BF105</f>
        <v>600</v>
      </c>
      <c r="AO75" s="1611">
        <f>Paramètres!BG105</f>
        <v>-600</v>
      </c>
      <c r="AQ75" s="17" t="s">
        <v>538</v>
      </c>
      <c r="AR75" s="1105">
        <f>Paramètres!BC113</f>
        <v>2700</v>
      </c>
      <c r="AS75" s="1105">
        <f>Paramètres!BD113</f>
        <v>2850</v>
      </c>
      <c r="AT75" s="1105">
        <f>Paramètres!BE113</f>
        <v>3200</v>
      </c>
      <c r="AV75" s="17" t="s">
        <v>538</v>
      </c>
      <c r="AW75" s="1299">
        <f t="shared" ref="AW75:AY78" si="16">IF(TA_TypeVela=1,BA75,IF(TA_TypeVela=2,BD75,0))</f>
        <v>3400</v>
      </c>
      <c r="AX75" s="1300">
        <f t="shared" si="16"/>
        <v>3550</v>
      </c>
      <c r="AY75" s="1301">
        <f t="shared" si="16"/>
        <v>3700</v>
      </c>
      <c r="BA75" s="1311">
        <f>Paramètres!BC121</f>
        <v>1900</v>
      </c>
      <c r="BB75" s="830">
        <f>Paramètres!BD121</f>
        <v>2100</v>
      </c>
      <c r="BC75" s="830">
        <f>Paramètres!BE121</f>
        <v>2300</v>
      </c>
      <c r="BD75" s="1311">
        <f>Paramètres!BC126</f>
        <v>3400</v>
      </c>
      <c r="BE75" s="830">
        <f>Paramètres!BD126</f>
        <v>3550</v>
      </c>
      <c r="BF75" s="1312">
        <f>Paramètres!BE126</f>
        <v>3700</v>
      </c>
    </row>
    <row r="76" spans="1:58" x14ac:dyDescent="0.2">
      <c r="A76" s="1164"/>
      <c r="B76" s="1164"/>
      <c r="C76" s="1164"/>
      <c r="D76" s="1164"/>
      <c r="E76" s="1164"/>
      <c r="F76" s="1164"/>
      <c r="G76" s="1164"/>
      <c r="H76" s="1306"/>
      <c r="I76" s="1164"/>
      <c r="J76" s="1164"/>
      <c r="K76" s="1164"/>
      <c r="L76" s="1164"/>
      <c r="M76" s="1164"/>
      <c r="N76" s="1498"/>
      <c r="O76" s="1498"/>
      <c r="P76" s="1498"/>
      <c r="Q76" s="1498"/>
      <c r="R76" s="1498"/>
      <c r="S76" s="1498"/>
      <c r="T76" s="1498"/>
      <c r="U76" s="1498"/>
      <c r="V76" s="1498"/>
      <c r="W76" s="1498"/>
      <c r="X76" s="1498"/>
      <c r="Y76" s="1498"/>
      <c r="Z76" s="1498"/>
      <c r="AI76" s="17" t="s">
        <v>219</v>
      </c>
      <c r="AJ76" s="1308">
        <f>Paramètres!BC106</f>
        <v>950</v>
      </c>
      <c r="AK76" s="1308">
        <f>Paramètres!BD106</f>
        <v>1000</v>
      </c>
      <c r="AL76" s="1308">
        <f>Paramètres!BE106</f>
        <v>1100</v>
      </c>
      <c r="AM76"/>
      <c r="AN76" s="1611">
        <f>Paramètres!BF106</f>
        <v>530</v>
      </c>
      <c r="AO76" s="1611">
        <f>Paramètres!BG106</f>
        <v>-530</v>
      </c>
      <c r="AQ76" s="17" t="s">
        <v>219</v>
      </c>
      <c r="AR76" s="1105">
        <f>Paramètres!BC114</f>
        <v>2000</v>
      </c>
      <c r="AS76" s="1105">
        <f>Paramètres!BD114</f>
        <v>2100</v>
      </c>
      <c r="AT76" s="1105">
        <f>Paramètres!BE114</f>
        <v>2200</v>
      </c>
      <c r="AV76" s="17" t="s">
        <v>219</v>
      </c>
      <c r="AW76" s="1299">
        <f t="shared" si="16"/>
        <v>2600</v>
      </c>
      <c r="AX76" s="1300">
        <f t="shared" si="16"/>
        <v>2700</v>
      </c>
      <c r="AY76" s="1301">
        <f t="shared" si="16"/>
        <v>2850</v>
      </c>
      <c r="BA76" s="1311">
        <f>Paramètres!BC122</f>
        <v>1450</v>
      </c>
      <c r="BB76" s="830">
        <f>Paramètres!BD122</f>
        <v>1600</v>
      </c>
      <c r="BC76" s="830">
        <f>Paramètres!BE122</f>
        <v>1800</v>
      </c>
      <c r="BD76" s="1311">
        <f>Paramètres!BC127</f>
        <v>2600</v>
      </c>
      <c r="BE76" s="830">
        <f>Paramètres!BD127</f>
        <v>2700</v>
      </c>
      <c r="BF76" s="1312">
        <f>Paramètres!BE127</f>
        <v>2850</v>
      </c>
    </row>
    <row r="77" spans="1:58" x14ac:dyDescent="0.2">
      <c r="A77" s="1164"/>
      <c r="B77" s="1259" t="s">
        <v>1267</v>
      </c>
      <c r="C77" s="1164"/>
      <c r="D77" s="1256"/>
      <c r="E77" s="1176" t="str">
        <f>IF(EN_FormMal=1,"léger",IF(EN_FormMal=2,"moyen",IF(EN_FormMal=3,"lourd",".")))</f>
        <v>léger</v>
      </c>
      <c r="F77" s="1483" t="s">
        <v>1345</v>
      </c>
      <c r="G77" s="1164"/>
      <c r="H77" s="1324" t="s">
        <v>81</v>
      </c>
      <c r="I77" s="1324"/>
      <c r="J77" s="1324" t="s">
        <v>219</v>
      </c>
      <c r="K77" s="1324" t="s">
        <v>220</v>
      </c>
      <c r="L77" s="1324" t="s">
        <v>221</v>
      </c>
      <c r="M77" s="1164"/>
      <c r="N77" s="1498"/>
      <c r="O77" s="1498"/>
      <c r="P77" s="1498"/>
      <c r="Q77" s="1498"/>
      <c r="R77" s="1498"/>
      <c r="S77" s="1498"/>
      <c r="T77" s="1498"/>
      <c r="U77" s="1498"/>
      <c r="V77" s="1498"/>
      <c r="W77" s="1498"/>
      <c r="X77" s="1498"/>
      <c r="Y77" s="1498"/>
      <c r="Z77" s="1498"/>
      <c r="AC77" s="3185" t="s">
        <v>538</v>
      </c>
      <c r="AD77" s="3185"/>
      <c r="AE77" s="3263" t="s">
        <v>219</v>
      </c>
      <c r="AF77" s="3263"/>
      <c r="AG77" s="3291" t="s">
        <v>625</v>
      </c>
      <c r="AH77" s="3291"/>
      <c r="AI77" s="17" t="s">
        <v>625</v>
      </c>
      <c r="AJ77" s="1308">
        <f>Paramètres!BC107</f>
        <v>32</v>
      </c>
      <c r="AK77" s="1308">
        <f>Paramètres!BD107</f>
        <v>34</v>
      </c>
      <c r="AL77" s="1308">
        <f>Paramètres!BE107</f>
        <v>37</v>
      </c>
      <c r="AM77"/>
      <c r="AN77" s="1611">
        <f>Paramètres!BF107</f>
        <v>17</v>
      </c>
      <c r="AO77" s="1611">
        <f>Paramètres!BG107</f>
        <v>-17</v>
      </c>
      <c r="AQ77" s="17" t="s">
        <v>625</v>
      </c>
      <c r="AR77" s="1105">
        <f>Paramètres!BC115</f>
        <v>65</v>
      </c>
      <c r="AS77" s="1105">
        <f>Paramètres!BD115</f>
        <v>68</v>
      </c>
      <c r="AT77" s="1105">
        <f>Paramètres!BE115</f>
        <v>77</v>
      </c>
      <c r="AV77" s="17" t="s">
        <v>625</v>
      </c>
      <c r="AW77" s="1299">
        <f t="shared" si="16"/>
        <v>81</v>
      </c>
      <c r="AX77" s="1300">
        <f t="shared" si="16"/>
        <v>84</v>
      </c>
      <c r="AY77" s="1301">
        <f t="shared" si="16"/>
        <v>89</v>
      </c>
      <c r="BA77" s="1311">
        <f>Paramètres!BC123</f>
        <v>48</v>
      </c>
      <c r="BB77" s="830">
        <f>Paramètres!BD123</f>
        <v>51</v>
      </c>
      <c r="BC77" s="830">
        <f>Paramètres!BE123</f>
        <v>55</v>
      </c>
      <c r="BD77" s="1311">
        <f>Paramètres!BC128</f>
        <v>81</v>
      </c>
      <c r="BE77" s="830">
        <f>Paramètres!BD128</f>
        <v>84</v>
      </c>
      <c r="BF77" s="1312">
        <f>Paramètres!BE128</f>
        <v>89</v>
      </c>
    </row>
    <row r="78" spans="1:58" x14ac:dyDescent="0.2">
      <c r="A78" s="1164"/>
      <c r="B78" s="1164"/>
      <c r="C78" s="1164" t="s">
        <v>421</v>
      </c>
      <c r="D78" s="1570" t="s">
        <v>1320</v>
      </c>
      <c r="E78" s="1570" t="s">
        <v>123</v>
      </c>
      <c r="F78" s="1164"/>
      <c r="G78" s="1164"/>
      <c r="H78" s="1306"/>
      <c r="I78" s="1164"/>
      <c r="J78" s="1164"/>
      <c r="K78" s="1164"/>
      <c r="L78" s="1164"/>
      <c r="M78" s="1164"/>
      <c r="N78" s="1483"/>
      <c r="O78" s="1498"/>
      <c r="P78" s="1498"/>
      <c r="Q78" s="1498"/>
      <c r="R78" s="1498"/>
      <c r="S78" s="1498"/>
      <c r="T78" s="1498"/>
      <c r="U78" s="1498"/>
      <c r="V78" s="1498"/>
      <c r="W78" s="1498"/>
      <c r="X78" s="1498"/>
      <c r="Y78" s="1498"/>
      <c r="Z78" s="1498"/>
      <c r="AC78" s="1911" t="s">
        <v>1320</v>
      </c>
      <c r="AD78" s="1911" t="s">
        <v>123</v>
      </c>
      <c r="AE78" s="1913" t="s">
        <v>1320</v>
      </c>
      <c r="AF78" s="1913" t="s">
        <v>123</v>
      </c>
      <c r="AG78" s="1918" t="s">
        <v>1320</v>
      </c>
      <c r="AH78" s="1918" t="s">
        <v>123</v>
      </c>
      <c r="AI78" s="17" t="s">
        <v>187</v>
      </c>
      <c r="AJ78" s="1308">
        <f>Paramètres!BC108</f>
        <v>9</v>
      </c>
      <c r="AK78" s="1308">
        <f>Paramètres!BD108</f>
        <v>9.5</v>
      </c>
      <c r="AL78" s="1308">
        <f>Paramètres!BE108</f>
        <v>10.5</v>
      </c>
      <c r="AM78"/>
      <c r="AN78" s="1611">
        <f>Paramètres!BF108</f>
        <v>3</v>
      </c>
      <c r="AO78" s="1611">
        <f>Paramètres!BG108</f>
        <v>-3</v>
      </c>
      <c r="AQ78" s="17" t="s">
        <v>187</v>
      </c>
      <c r="AR78" s="1105">
        <f>Paramètres!BC116</f>
        <v>12</v>
      </c>
      <c r="AS78" s="1105">
        <f>Paramètres!BD116</f>
        <v>13</v>
      </c>
      <c r="AT78" s="1105">
        <f>Paramètres!BE116</f>
        <v>14.5</v>
      </c>
      <c r="AV78" s="17" t="s">
        <v>187</v>
      </c>
      <c r="AW78" s="1302">
        <f t="shared" si="16"/>
        <v>15</v>
      </c>
      <c r="AX78" s="1303">
        <f t="shared" si="16"/>
        <v>15</v>
      </c>
      <c r="AY78" s="1304">
        <f t="shared" si="16"/>
        <v>15</v>
      </c>
      <c r="BA78" s="1313">
        <f>Paramètres!BC124</f>
        <v>13</v>
      </c>
      <c r="BB78" s="832">
        <f>Paramètres!BD124</f>
        <v>14</v>
      </c>
      <c r="BC78" s="1314">
        <f>Paramètres!BE124</f>
        <v>15</v>
      </c>
      <c r="BD78" s="1313">
        <f>Paramètres!BC129</f>
        <v>15</v>
      </c>
      <c r="BE78" s="832">
        <f>Paramètres!BD129</f>
        <v>15</v>
      </c>
      <c r="BF78" s="1314">
        <f>Paramètres!BE129</f>
        <v>15</v>
      </c>
    </row>
    <row r="79" spans="1:58" x14ac:dyDescent="0.2">
      <c r="A79" s="1164"/>
      <c r="B79" s="1164"/>
      <c r="C79" s="1483" t="s">
        <v>1372</v>
      </c>
      <c r="D79" s="1176">
        <f>EN_NbMalAn1L</f>
        <v>0</v>
      </c>
      <c r="E79" s="1176">
        <f>EN_NbMalAn1A</f>
        <v>11</v>
      </c>
      <c r="F79" s="1164"/>
      <c r="G79" s="1164"/>
      <c r="H79" s="1634">
        <f>$E79*HLOOKUP($E$77,$AI$82:$AM$86,2,FALSE)+EN_NbMalAn1Ach*$AN83+(EN_NbMalAn1Vd+EN_NbMalAn1Tau)*$AO83+$D79*$AK83</f>
        <v>8300</v>
      </c>
      <c r="I79" s="1164"/>
      <c r="J79" s="1634">
        <f>$E79*HLOOKUP($E$77,$AI$82:$AM$86,3,FALSE)+EN_NbMalAn1Ach*$AN84+(EN_NbMalAn1Vd+EN_NbMalAn1Tau)*$AO84+$D79*$AK84</f>
        <v>6800</v>
      </c>
      <c r="K79" s="1634">
        <f>$E79*HLOOKUP($E$77,$AI$82:$AM$86,4,FALSE)+EN_NbMalAn1Ach*$AN85+(EN_NbMalAn1Vd+EN_NbMalAn1Tau)*$AO85+$D79*$AK85</f>
        <v>204</v>
      </c>
      <c r="L79" s="1634">
        <f>$E79*HLOOKUP($E$77,$AI$82:$AM$86,5,FALSE)+EN_NbMalAn1Ach*$AN86+(EN_NbMalAn1Vd+EN_NbMalAn1Tau)*$AO86+$D79*$AK86</f>
        <v>91</v>
      </c>
      <c r="M79" s="1164"/>
      <c r="N79" s="1483"/>
      <c r="O79" s="1498"/>
      <c r="P79" s="1498"/>
      <c r="Q79" s="1498"/>
      <c r="R79" s="1498"/>
      <c r="S79" s="1498"/>
      <c r="T79" s="1498"/>
      <c r="U79" s="1498"/>
      <c r="V79" s="1498"/>
      <c r="W79" s="1498"/>
      <c r="X79" s="1498"/>
      <c r="Y79" s="1498"/>
      <c r="Z79" s="1498"/>
      <c r="AB79" s="1774" t="str">
        <f>C79</f>
        <v xml:space="preserve">   - mâles an 1</v>
      </c>
      <c r="AC79" s="1912">
        <f>$D79*$AK83</f>
        <v>0</v>
      </c>
      <c r="AD79" s="1912">
        <f>$E79*HLOOKUP($E$77,$AI$82:$AM$86,2,FALSE)+EN_NbMalAn1Ach*$AN83+(EN_NbMalAn1Vd+EN_NbMalAn1Tau)*$AO83</f>
        <v>8300</v>
      </c>
      <c r="AE79" s="1405">
        <f>$D79*$AK84</f>
        <v>0</v>
      </c>
      <c r="AF79" s="1405">
        <f>$E79*HLOOKUP($E$77,$AI$82:$AM$86,3,FALSE)+EN_NbMalAn1Ach*$AN84+(EN_NbMalAn1Vd+EN_NbMalAn1Tau)*$AO84</f>
        <v>6800</v>
      </c>
      <c r="AG79" s="1919">
        <f>$D79*$AK85</f>
        <v>0</v>
      </c>
      <c r="AH79" s="1919">
        <f>$E79*HLOOKUP($E$77,$AI$82:$AM$86,4,FALSE)+EN_NbMalAn1Ach*$AN85+(EN_NbMalAn1Vd+EN_NbMalAn1Tau)*$AO85</f>
        <v>204</v>
      </c>
    </row>
    <row r="80" spans="1:58" ht="5.0999999999999996" customHeight="1" x14ac:dyDescent="0.2">
      <c r="A80" s="1164"/>
      <c r="B80" s="1164"/>
      <c r="C80" s="4"/>
      <c r="D80" s="1164"/>
      <c r="E80" s="1164"/>
      <c r="F80" s="1164"/>
      <c r="G80" s="1164"/>
      <c r="H80" s="1306"/>
      <c r="I80" s="1164"/>
      <c r="J80" s="1306"/>
      <c r="K80" s="1306"/>
      <c r="L80" s="1306"/>
      <c r="M80" s="1164"/>
      <c r="N80" s="1483"/>
      <c r="O80" s="1498"/>
      <c r="P80" s="1498"/>
      <c r="Q80" s="1498"/>
      <c r="R80" s="1498"/>
      <c r="S80" s="1498"/>
      <c r="T80" s="1498"/>
      <c r="U80" s="1498"/>
      <c r="V80" s="1498"/>
      <c r="W80" s="1498"/>
      <c r="X80" s="1498"/>
      <c r="Y80" s="1498"/>
      <c r="Z80" s="1498"/>
      <c r="AB80" s="1774"/>
      <c r="AC80" s="1912"/>
      <c r="AD80" s="1912"/>
      <c r="AE80" s="1405"/>
      <c r="AF80" s="1405"/>
      <c r="AG80" s="1919"/>
      <c r="AH80" s="1919"/>
    </row>
    <row r="81" spans="1:94" x14ac:dyDescent="0.2">
      <c r="A81" s="1164"/>
      <c r="B81" s="1164"/>
      <c r="C81" s="1164" t="s">
        <v>306</v>
      </c>
      <c r="D81" s="1176">
        <f>Saisies_Exploitation!D79</f>
        <v>0</v>
      </c>
      <c r="E81" s="1176">
        <f>Saisies_Exploitation!E79</f>
        <v>0</v>
      </c>
      <c r="F81" s="1164"/>
      <c r="G81" s="1164"/>
      <c r="H81" s="1287">
        <f>$E81*HLOOKUP($E$77,$AQ$82:$AU$86,2,FALSE)+$D81*$AS83</f>
        <v>0</v>
      </c>
      <c r="I81" s="1164"/>
      <c r="J81" s="1287">
        <f>$E81*HLOOKUP($E$77,$AQ$82:$AU$86,3,FALSE)+$D81*$AS84</f>
        <v>0</v>
      </c>
      <c r="K81" s="1287">
        <f>$E81*HLOOKUP($E$77,$AQ$82:$AU$86,4,FALSE)+$D81*$AS85</f>
        <v>0</v>
      </c>
      <c r="L81" s="1287">
        <f>$E81*HLOOKUP($E$77,$AQ$82:$AU$86,5,FALSE)+$D81*$AS86</f>
        <v>0</v>
      </c>
      <c r="M81" s="1164"/>
      <c r="N81" s="1826"/>
      <c r="O81" s="1498"/>
      <c r="P81" s="1498"/>
      <c r="Q81" s="1498"/>
      <c r="R81" s="1498"/>
      <c r="S81" s="1498"/>
      <c r="T81" s="1498"/>
      <c r="U81" s="1498"/>
      <c r="V81" s="1498"/>
      <c r="W81" s="1498"/>
      <c r="X81" s="1498"/>
      <c r="Y81" s="1498"/>
      <c r="Z81" s="1498"/>
      <c r="AB81" s="1774" t="str">
        <f t="shared" ref="AB81:AB87" si="17">C81</f>
        <v xml:space="preserve">   - mâles an 2 (hors taurillons)</v>
      </c>
      <c r="AC81" s="1912">
        <f>$D81*$AS83</f>
        <v>0</v>
      </c>
      <c r="AD81" s="1912">
        <f>$E81*HLOOKUP($E$77,$AQ$82:$AU$86,2,FALSE)</f>
        <v>0</v>
      </c>
      <c r="AE81" s="1405">
        <f>$D81*$AS84</f>
        <v>0</v>
      </c>
      <c r="AF81" s="1405">
        <f>$E81*HLOOKUP($E$77,$AQ$82:$AU$86,3,FALSE)</f>
        <v>0</v>
      </c>
      <c r="AG81" s="1919">
        <f>$D81*$AS85</f>
        <v>0</v>
      </c>
      <c r="AH81" s="1919">
        <f>$E81*HLOOKUP($E$77,$AQ$82:$AU$86,4,FALSE)</f>
        <v>0</v>
      </c>
      <c r="AN81"/>
      <c r="AV81" s="1283" t="s">
        <v>72</v>
      </c>
      <c r="AW81" s="1588" t="s">
        <v>69</v>
      </c>
      <c r="AX81" s="1589"/>
      <c r="AY81" s="1590"/>
      <c r="AZ81" s="1589"/>
      <c r="BA81" s="1591" t="s">
        <v>183</v>
      </c>
      <c r="BB81" s="1592"/>
      <c r="BC81" s="1593"/>
      <c r="BD81" s="1591" t="s">
        <v>163</v>
      </c>
      <c r="BE81" s="1592"/>
      <c r="BF81" s="1593"/>
      <c r="BH81" s="1283" t="s">
        <v>72</v>
      </c>
      <c r="BI81" s="1588" t="s">
        <v>69</v>
      </c>
      <c r="BJ81" s="1589"/>
      <c r="BK81" s="1590"/>
      <c r="BL81" s="1589"/>
      <c r="BM81" s="1591" t="s">
        <v>183</v>
      </c>
      <c r="BN81" s="1592"/>
      <c r="BO81" s="1593"/>
      <c r="BP81" s="1591" t="s">
        <v>163</v>
      </c>
      <c r="BQ81" s="1592"/>
      <c r="BR81" s="1593"/>
      <c r="BT81" s="1283" t="s">
        <v>72</v>
      </c>
      <c r="BU81" s="1588" t="s">
        <v>69</v>
      </c>
      <c r="BV81" s="1589"/>
      <c r="BW81" s="1590"/>
      <c r="BX81" s="1589"/>
      <c r="BY81" s="1591" t="s">
        <v>183</v>
      </c>
      <c r="BZ81" s="1592"/>
      <c r="CA81" s="1593"/>
      <c r="CB81" s="1591" t="s">
        <v>163</v>
      </c>
      <c r="CC81" s="1592"/>
      <c r="CD81" s="1593"/>
      <c r="CF81" s="1283" t="s">
        <v>72</v>
      </c>
      <c r="CG81" s="1588" t="s">
        <v>69</v>
      </c>
      <c r="CH81" s="1589"/>
      <c r="CI81" s="1590"/>
      <c r="CJ81" s="1589"/>
      <c r="CK81" s="1591" t="s">
        <v>183</v>
      </c>
      <c r="CL81" s="1592"/>
      <c r="CM81" s="1593"/>
      <c r="CN81" s="1591" t="s">
        <v>163</v>
      </c>
      <c r="CO81" s="1592"/>
      <c r="CP81" s="1593"/>
    </row>
    <row r="82" spans="1:94" x14ac:dyDescent="0.2">
      <c r="A82" s="1164"/>
      <c r="B82" s="1164"/>
      <c r="C82" s="1164" t="s">
        <v>424</v>
      </c>
      <c r="D82" s="1164"/>
      <c r="E82" s="1164"/>
      <c r="F82" s="1164"/>
      <c r="G82" s="1164"/>
      <c r="H82" s="1306"/>
      <c r="I82" s="1164"/>
      <c r="J82" s="1306"/>
      <c r="K82" s="1306"/>
      <c r="L82" s="1306"/>
      <c r="M82" s="1164"/>
      <c r="N82" s="1826"/>
      <c r="O82" s="1498"/>
      <c r="P82" s="1498"/>
      <c r="Q82" s="1498"/>
      <c r="R82" s="1498"/>
      <c r="S82" s="1498"/>
      <c r="T82" s="1498"/>
      <c r="U82" s="1498"/>
      <c r="V82" s="1498"/>
      <c r="W82" s="1498"/>
      <c r="X82" s="1498"/>
      <c r="Y82" s="1498"/>
      <c r="Z82" s="1498"/>
      <c r="AB82" s="1774" t="str">
        <f t="shared" si="17"/>
        <v xml:space="preserve">   - mâles année 3</v>
      </c>
      <c r="AC82" s="1912"/>
      <c r="AD82" s="1912"/>
      <c r="AE82" s="1405"/>
      <c r="AF82" s="1405"/>
      <c r="AG82" s="1919"/>
      <c r="AH82" s="1919"/>
      <c r="AI82" s="1283" t="s">
        <v>70</v>
      </c>
      <c r="AJ82" s="712" t="s">
        <v>935</v>
      </c>
      <c r="AK82" s="712" t="s">
        <v>936</v>
      </c>
      <c r="AL82" s="712" t="s">
        <v>937</v>
      </c>
      <c r="AM82" s="1704" t="s">
        <v>1468</v>
      </c>
      <c r="AN82" s="1610" t="s">
        <v>1310</v>
      </c>
      <c r="AO82" s="1610" t="s">
        <v>1313</v>
      </c>
      <c r="AQ82" s="1283" t="s">
        <v>71</v>
      </c>
      <c r="AR82" s="712" t="s">
        <v>935</v>
      </c>
      <c r="AS82" s="712" t="s">
        <v>936</v>
      </c>
      <c r="AT82" s="712" t="s">
        <v>937</v>
      </c>
      <c r="AU82" s="1704" t="s">
        <v>1468</v>
      </c>
      <c r="AV82" s="1283" t="s">
        <v>73</v>
      </c>
      <c r="AW82" s="1296" t="s">
        <v>935</v>
      </c>
      <c r="AX82" s="1297" t="s">
        <v>936</v>
      </c>
      <c r="AY82" s="1298" t="s">
        <v>937</v>
      </c>
      <c r="AZ82" s="1703" t="s">
        <v>1468</v>
      </c>
      <c r="BA82" s="846" t="s">
        <v>935</v>
      </c>
      <c r="BB82" s="847" t="s">
        <v>936</v>
      </c>
      <c r="BC82" s="848" t="s">
        <v>937</v>
      </c>
      <c r="BD82" s="846" t="s">
        <v>935</v>
      </c>
      <c r="BE82" s="847" t="s">
        <v>936</v>
      </c>
      <c r="BF82" s="848" t="s">
        <v>937</v>
      </c>
      <c r="BH82" s="1283" t="s">
        <v>74</v>
      </c>
      <c r="BI82" s="1296" t="s">
        <v>935</v>
      </c>
      <c r="BJ82" s="1297" t="s">
        <v>936</v>
      </c>
      <c r="BK82" s="1298" t="s">
        <v>937</v>
      </c>
      <c r="BL82" s="1703" t="s">
        <v>1468</v>
      </c>
      <c r="BM82" s="846" t="s">
        <v>935</v>
      </c>
      <c r="BN82" s="847" t="s">
        <v>936</v>
      </c>
      <c r="BO82" s="848" t="s">
        <v>937</v>
      </c>
      <c r="BP82" s="846" t="s">
        <v>935</v>
      </c>
      <c r="BQ82" s="847" t="s">
        <v>936</v>
      </c>
      <c r="BR82" s="848" t="s">
        <v>937</v>
      </c>
      <c r="BT82" s="1283" t="s">
        <v>75</v>
      </c>
      <c r="BU82" s="1296" t="s">
        <v>935</v>
      </c>
      <c r="BV82" s="1297" t="s">
        <v>936</v>
      </c>
      <c r="BW82" s="1298" t="s">
        <v>937</v>
      </c>
      <c r="BX82" s="1703" t="s">
        <v>1468</v>
      </c>
      <c r="BY82" s="846" t="s">
        <v>935</v>
      </c>
      <c r="BZ82" s="847" t="s">
        <v>936</v>
      </c>
      <c r="CA82" s="848" t="s">
        <v>937</v>
      </c>
      <c r="CB82" s="846" t="s">
        <v>935</v>
      </c>
      <c r="CC82" s="847" t="s">
        <v>936</v>
      </c>
      <c r="CD82" s="848" t="s">
        <v>937</v>
      </c>
      <c r="CF82" s="1283" t="s">
        <v>76</v>
      </c>
      <c r="CG82" s="1296" t="s">
        <v>935</v>
      </c>
      <c r="CH82" s="1297" t="s">
        <v>936</v>
      </c>
      <c r="CI82" s="1298" t="s">
        <v>937</v>
      </c>
      <c r="CJ82" s="1703" t="s">
        <v>1468</v>
      </c>
      <c r="CK82" s="846" t="s">
        <v>935</v>
      </c>
      <c r="CL82" s="847" t="s">
        <v>936</v>
      </c>
      <c r="CM82" s="848" t="s">
        <v>937</v>
      </c>
      <c r="CN82" s="846" t="s">
        <v>935</v>
      </c>
      <c r="CO82" s="847" t="s">
        <v>936</v>
      </c>
      <c r="CP82" s="848" t="s">
        <v>937</v>
      </c>
    </row>
    <row r="83" spans="1:94" x14ac:dyDescent="0.2">
      <c r="A83" s="1164"/>
      <c r="B83" s="1164"/>
      <c r="C83" s="1289" t="s">
        <v>295</v>
      </c>
      <c r="D83" s="1176">
        <f>Saisies_Exploitation!D84</f>
        <v>0</v>
      </c>
      <c r="E83" s="1176">
        <f>Saisies_Exploitation!E84</f>
        <v>0</v>
      </c>
      <c r="F83" s="1164"/>
      <c r="G83" s="1164"/>
      <c r="H83" s="1287">
        <f>$E83*HLOOKUP($E$77,$AV$82:$AZ$86,2,FALSE)+$D83*$AX83</f>
        <v>0</v>
      </c>
      <c r="I83" s="1164"/>
      <c r="J83" s="1287">
        <f>$E83*HLOOKUP($E$77,$AV$82:$AZ$86,3,FALSE)+$D83*$AX84</f>
        <v>0</v>
      </c>
      <c r="K83" s="1287">
        <f>$E83*HLOOKUP($E$77,$AV$82:$AZ$86,4,FALSE)+$D83*$AX85</f>
        <v>0</v>
      </c>
      <c r="L83" s="1287">
        <f>$E83*HLOOKUP($E$77,$AV$82:$AZ$86,5,FALSE)+$D83*$AX86</f>
        <v>0</v>
      </c>
      <c r="M83" s="1164"/>
      <c r="N83" s="1498"/>
      <c r="O83" s="1498"/>
      <c r="P83" s="1498"/>
      <c r="Q83" s="1498"/>
      <c r="R83" s="1498"/>
      <c r="S83" s="1498"/>
      <c r="T83" s="1498"/>
      <c r="U83" s="1498"/>
      <c r="V83" s="1498"/>
      <c r="W83" s="1498"/>
      <c r="X83" s="1498"/>
      <c r="Y83" s="1498"/>
      <c r="Z83" s="1498"/>
      <c r="AB83" s="1774" t="str">
        <f t="shared" si="17"/>
        <v>* 25-28 mois</v>
      </c>
      <c r="AC83" s="1911">
        <f>$D83*$AX83</f>
        <v>0</v>
      </c>
      <c r="AD83" s="1912">
        <f>$E83*HLOOKUP($E$77,$AV$82:$AZ$86,2,FALSE)</f>
        <v>0</v>
      </c>
      <c r="AE83" s="1405">
        <f>$D83*$AX84</f>
        <v>0</v>
      </c>
      <c r="AF83" s="1405">
        <f>$E83*HLOOKUP($E$77,$AV$82:$AZ$86,3,FALSE)</f>
        <v>0</v>
      </c>
      <c r="AG83" s="1919">
        <f>$D83*$AX85</f>
        <v>0</v>
      </c>
      <c r="AH83" s="1919">
        <f>$E83*HLOOKUP($E$77,$AV$82:$AZ$86,4,FALSE)</f>
        <v>0</v>
      </c>
      <c r="AI83" s="17" t="s">
        <v>538</v>
      </c>
      <c r="AJ83" s="1308">
        <f>Paramètres!BC134</f>
        <v>1300</v>
      </c>
      <c r="AK83" s="1308">
        <f>Paramètres!BD134</f>
        <v>1400</v>
      </c>
      <c r="AL83" s="1308">
        <f>Paramètres!BE134</f>
        <v>1500</v>
      </c>
      <c r="AM83" s="1105">
        <v>0</v>
      </c>
      <c r="AN83" s="1611">
        <f>Paramètres!BF134</f>
        <v>600</v>
      </c>
      <c r="AO83" s="1611">
        <f>Paramètres!BG134</f>
        <v>-600</v>
      </c>
      <c r="AQ83" s="17" t="s">
        <v>538</v>
      </c>
      <c r="AR83" s="1105">
        <f>Paramètres!BC142</f>
        <v>2700</v>
      </c>
      <c r="AS83" s="1105">
        <f>Paramètres!BD142</f>
        <v>2850</v>
      </c>
      <c r="AT83" s="1105">
        <f>Paramètres!BE142</f>
        <v>3000</v>
      </c>
      <c r="AU83" s="1105">
        <v>0</v>
      </c>
      <c r="AV83" s="17" t="s">
        <v>538</v>
      </c>
      <c r="AW83" s="1299">
        <f t="shared" ref="AW83:AY86" si="18">IF(AEN_MalMaHe=1,BA83,IF(AEN_MalMaHe=2,BD83,0))</f>
        <v>0</v>
      </c>
      <c r="AX83" s="1300">
        <f t="shared" si="18"/>
        <v>0</v>
      </c>
      <c r="AY83" s="1301">
        <f t="shared" si="18"/>
        <v>0</v>
      </c>
      <c r="AZ83" s="1300">
        <v>0</v>
      </c>
      <c r="BA83" s="1311">
        <f>Paramètres!BC151</f>
        <v>1300</v>
      </c>
      <c r="BB83" s="830">
        <f>Paramètres!BD151</f>
        <v>1450</v>
      </c>
      <c r="BC83" s="1312">
        <f>Paramètres!BE151</f>
        <v>1600</v>
      </c>
      <c r="BD83" s="1311">
        <f>Paramètres!BC157</f>
        <v>1350</v>
      </c>
      <c r="BE83" s="830">
        <f>Paramètres!BD157</f>
        <v>1500</v>
      </c>
      <c r="BF83" s="1312">
        <f>Paramètres!BE157</f>
        <v>1750</v>
      </c>
      <c r="BH83" s="17" t="s">
        <v>538</v>
      </c>
      <c r="BI83" s="1299">
        <f t="shared" ref="BI83:BK86" si="19">IF(AEN_MalMaHe=1,BM83,IF(AEN_MalMaHe=2,BP83,0))</f>
        <v>0</v>
      </c>
      <c r="BJ83" s="1300">
        <f t="shared" si="19"/>
        <v>0</v>
      </c>
      <c r="BK83" s="1301">
        <f t="shared" si="19"/>
        <v>0</v>
      </c>
      <c r="BL83" s="1300">
        <v>0</v>
      </c>
      <c r="BM83" s="1311">
        <f>Paramètres!BC163</f>
        <v>1800</v>
      </c>
      <c r="BN83" s="830">
        <f>Paramètres!BD163</f>
        <v>1900</v>
      </c>
      <c r="BO83" s="1312">
        <f>Paramètres!BE163</f>
        <v>2050</v>
      </c>
      <c r="BP83" s="1311">
        <f>Paramètres!BC169</f>
        <v>1900</v>
      </c>
      <c r="BQ83" s="830">
        <f>Paramètres!BD169</f>
        <v>2050</v>
      </c>
      <c r="BR83" s="1312">
        <f>Paramètres!BE169</f>
        <v>2200</v>
      </c>
      <c r="BT83" s="17" t="s">
        <v>538</v>
      </c>
      <c r="BU83" s="1299">
        <f t="shared" ref="BU83:BW86" si="20">IF(AEN_MalMaHe=1,BY83,IF(AEN_MalMaHe=2,CB83,0))</f>
        <v>0</v>
      </c>
      <c r="BV83" s="1300">
        <f t="shared" si="20"/>
        <v>0</v>
      </c>
      <c r="BW83" s="1301">
        <f t="shared" si="20"/>
        <v>0</v>
      </c>
      <c r="BX83" s="1300">
        <v>0</v>
      </c>
      <c r="BY83" s="1311">
        <f>Paramètres!BC175</f>
        <v>2400</v>
      </c>
      <c r="BZ83" s="830">
        <f>Paramètres!BD175</f>
        <v>2600</v>
      </c>
      <c r="CA83" s="1312">
        <f>Paramètres!BE175</f>
        <v>2800</v>
      </c>
      <c r="CB83" s="1311">
        <f>Paramètres!BC181</f>
        <v>2700</v>
      </c>
      <c r="CC83" s="830">
        <f>Paramètres!BD181</f>
        <v>2850</v>
      </c>
      <c r="CD83" s="1312">
        <f>Paramètres!BE181</f>
        <v>3000</v>
      </c>
      <c r="CF83" s="17" t="s">
        <v>538</v>
      </c>
      <c r="CG83" s="1299">
        <f>IF(AEN_MalMaHe=1,CK83,IF(AEN_MalMaHe=2,CN83,0))</f>
        <v>0</v>
      </c>
      <c r="CH83" s="1300">
        <f t="shared" ref="CG83:CI86" si="21">IF(AEN_MalMaHe=1,CL83,IF(AEN_MalMaHe=2,CO83,0))</f>
        <v>0</v>
      </c>
      <c r="CI83" s="1301">
        <f t="shared" si="21"/>
        <v>0</v>
      </c>
      <c r="CJ83" s="1300">
        <v>0</v>
      </c>
      <c r="CK83" s="1311">
        <f>Paramètres!BC187</f>
        <v>3650</v>
      </c>
      <c r="CL83" s="830">
        <f>Paramètres!BD187</f>
        <v>3800</v>
      </c>
      <c r="CM83" s="1312">
        <f>Paramètres!BE187</f>
        <v>4000</v>
      </c>
      <c r="CN83" s="1311">
        <f>Paramètres!BC193</f>
        <v>3800</v>
      </c>
      <c r="CO83" s="830">
        <f>Paramètres!BD193</f>
        <v>4000</v>
      </c>
      <c r="CP83" s="1312">
        <f>Paramètres!BE193</f>
        <v>4300</v>
      </c>
    </row>
    <row r="84" spans="1:94" x14ac:dyDescent="0.2">
      <c r="A84" s="1164"/>
      <c r="B84" s="1164"/>
      <c r="C84" s="1289" t="s">
        <v>296</v>
      </c>
      <c r="D84" s="1176">
        <f>Saisies_Exploitation!D85</f>
        <v>0</v>
      </c>
      <c r="E84" s="1176">
        <f>Saisies_Exploitation!E85</f>
        <v>0</v>
      </c>
      <c r="F84" s="1164"/>
      <c r="G84" s="1164"/>
      <c r="H84" s="1287">
        <f>$E84*HLOOKUP($E$77,$BH$82:$BL$86,2,FALSE)+$D84*$BJ83</f>
        <v>0</v>
      </c>
      <c r="I84" s="1164"/>
      <c r="J84" s="1287">
        <f>$E84*HLOOKUP($E$77,$BH$82:$BL$86,3,FALSE)+$D84*$BJ84</f>
        <v>0</v>
      </c>
      <c r="K84" s="1287">
        <f>$E84*HLOOKUP($E$77,$BH$82:$BL$86,4,FALSE)+$D84*$BJ85</f>
        <v>0</v>
      </c>
      <c r="L84" s="1287">
        <f>$E84*HLOOKUP($E$77,$BH$82:$BL$86,5,FALSE)+$D84*$BJ86</f>
        <v>0</v>
      </c>
      <c r="M84" s="1164"/>
      <c r="N84" s="1498"/>
      <c r="O84" s="1498"/>
      <c r="P84" s="1498"/>
      <c r="Q84" s="1498"/>
      <c r="R84" s="1498"/>
      <c r="S84" s="1498"/>
      <c r="T84" s="1498"/>
      <c r="U84" s="1498"/>
      <c r="V84" s="1498"/>
      <c r="W84" s="1498"/>
      <c r="X84" s="1498"/>
      <c r="Y84" s="1498"/>
      <c r="Z84" s="1498"/>
      <c r="AB84" s="1774" t="str">
        <f t="shared" si="17"/>
        <v>* 25-30 mois</v>
      </c>
      <c r="AC84" s="1912">
        <f>$D84*$BJ83</f>
        <v>0</v>
      </c>
      <c r="AD84" s="1912">
        <f>$E84*HLOOKUP($E$77,$BH$82:$BL$86,2,FALSE)</f>
        <v>0</v>
      </c>
      <c r="AE84" s="1405">
        <f>$D84*$BJ84</f>
        <v>0</v>
      </c>
      <c r="AF84" s="1405">
        <f>$E84*HLOOKUP($E$77,$BH$82:$BL$86,3,FALSE)</f>
        <v>0</v>
      </c>
      <c r="AG84" s="1919">
        <f>$D84*$BJ84</f>
        <v>0</v>
      </c>
      <c r="AH84" s="1919">
        <f>$E84*HLOOKUP($E$77,$BH$82:$BL$86,4,FALSE)</f>
        <v>0</v>
      </c>
      <c r="AI84" s="17" t="s">
        <v>219</v>
      </c>
      <c r="AJ84" s="1308">
        <f>Paramètres!BC135</f>
        <v>1100</v>
      </c>
      <c r="AK84" s="1308">
        <f>Paramètres!BD135</f>
        <v>1250</v>
      </c>
      <c r="AL84" s="1308">
        <f>Paramètres!BE135</f>
        <v>1350</v>
      </c>
      <c r="AM84" s="1105">
        <v>0</v>
      </c>
      <c r="AN84" s="1611">
        <f>Paramètres!BF135</f>
        <v>530</v>
      </c>
      <c r="AO84" s="1611">
        <f>Paramètres!BG135</f>
        <v>-530</v>
      </c>
      <c r="AQ84" s="17" t="s">
        <v>219</v>
      </c>
      <c r="AR84" s="1105">
        <f>Paramètres!BC143</f>
        <v>2200</v>
      </c>
      <c r="AS84" s="1105">
        <f>Paramètres!BD143</f>
        <v>2250</v>
      </c>
      <c r="AT84" s="1105">
        <f>Paramètres!BE143</f>
        <v>2450</v>
      </c>
      <c r="AU84" s="1105">
        <v>0</v>
      </c>
      <c r="AV84" s="17" t="s">
        <v>219</v>
      </c>
      <c r="AW84" s="1299">
        <f t="shared" si="18"/>
        <v>0</v>
      </c>
      <c r="AX84" s="1300">
        <f t="shared" si="18"/>
        <v>0</v>
      </c>
      <c r="AY84" s="1301">
        <f t="shared" si="18"/>
        <v>0</v>
      </c>
      <c r="AZ84" s="1300">
        <v>0</v>
      </c>
      <c r="BA84" s="1311">
        <f>Paramètres!BC152</f>
        <v>1150</v>
      </c>
      <c r="BB84" s="830">
        <f>Paramètres!BD152</f>
        <v>1300</v>
      </c>
      <c r="BC84" s="1312">
        <f>Paramètres!BE152</f>
        <v>1450</v>
      </c>
      <c r="BD84" s="1311">
        <f>Paramètres!BC158</f>
        <v>1150</v>
      </c>
      <c r="BE84" s="830">
        <f>Paramètres!BD158</f>
        <v>1300</v>
      </c>
      <c r="BF84" s="1312">
        <f>Paramètres!BE158</f>
        <v>1500</v>
      </c>
      <c r="BH84" s="17" t="s">
        <v>219</v>
      </c>
      <c r="BI84" s="1299">
        <f t="shared" si="19"/>
        <v>0</v>
      </c>
      <c r="BJ84" s="1300">
        <f t="shared" si="19"/>
        <v>0</v>
      </c>
      <c r="BK84" s="1301">
        <f t="shared" si="19"/>
        <v>0</v>
      </c>
      <c r="BL84" s="1300">
        <v>0</v>
      </c>
      <c r="BM84" s="1311">
        <f>Paramètres!BC164</f>
        <v>1500</v>
      </c>
      <c r="BN84" s="830">
        <f>Paramètres!BD164</f>
        <v>1700</v>
      </c>
      <c r="BO84" s="1312">
        <f>Paramètres!BE164</f>
        <v>1850</v>
      </c>
      <c r="BP84" s="1311">
        <f>Paramètres!BC170</f>
        <v>1600</v>
      </c>
      <c r="BQ84" s="830">
        <f>Paramètres!BD170</f>
        <v>1700</v>
      </c>
      <c r="BR84" s="1312">
        <f>Paramètres!BE170</f>
        <v>1850</v>
      </c>
      <c r="BT84" s="17" t="s">
        <v>219</v>
      </c>
      <c r="BU84" s="1299">
        <f t="shared" si="20"/>
        <v>0</v>
      </c>
      <c r="BV84" s="1300">
        <f t="shared" si="20"/>
        <v>0</v>
      </c>
      <c r="BW84" s="1301">
        <f t="shared" si="20"/>
        <v>0</v>
      </c>
      <c r="BX84" s="1300">
        <v>0</v>
      </c>
      <c r="BY84" s="1311">
        <f>Paramètres!BC176</f>
        <v>2050</v>
      </c>
      <c r="BZ84" s="830">
        <f>Paramètres!BD176</f>
        <v>2200</v>
      </c>
      <c r="CA84" s="1312">
        <f>Paramètres!BE176</f>
        <v>2400</v>
      </c>
      <c r="CB84" s="1311">
        <f>Paramètres!BC182</f>
        <v>2300</v>
      </c>
      <c r="CC84" s="830">
        <f>Paramètres!BD182</f>
        <v>2400</v>
      </c>
      <c r="CD84" s="1312">
        <f>Paramètres!BE182</f>
        <v>2550</v>
      </c>
      <c r="CF84" s="17" t="s">
        <v>219</v>
      </c>
      <c r="CG84" s="1299">
        <f t="shared" si="21"/>
        <v>0</v>
      </c>
      <c r="CH84" s="1300">
        <f t="shared" si="21"/>
        <v>0</v>
      </c>
      <c r="CI84" s="1301">
        <f t="shared" si="21"/>
        <v>0</v>
      </c>
      <c r="CJ84" s="1300">
        <v>0</v>
      </c>
      <c r="CK84" s="1311">
        <f>Paramètres!BC188</f>
        <v>3000</v>
      </c>
      <c r="CL84" s="830">
        <f>Paramètres!BD188</f>
        <v>3200</v>
      </c>
      <c r="CM84" s="1312">
        <f>Paramètres!BE188</f>
        <v>3300</v>
      </c>
      <c r="CN84" s="1311">
        <f>Paramètres!BC194</f>
        <v>3200</v>
      </c>
      <c r="CO84" s="830">
        <f>Paramètres!BD194</f>
        <v>3300</v>
      </c>
      <c r="CP84" s="1312">
        <f>Paramètres!BE194</f>
        <v>3850</v>
      </c>
    </row>
    <row r="85" spans="1:94" x14ac:dyDescent="0.2">
      <c r="A85" s="1164"/>
      <c r="B85" s="1164"/>
      <c r="C85" s="1289" t="s">
        <v>297</v>
      </c>
      <c r="D85" s="1176">
        <f>Saisies_Exploitation!D86</f>
        <v>0</v>
      </c>
      <c r="E85" s="1176">
        <f>Saisies_Exploitation!E86</f>
        <v>0</v>
      </c>
      <c r="F85" s="1164"/>
      <c r="G85" s="1164"/>
      <c r="H85" s="1287">
        <f>$E85*HLOOKUP($E$77,$BT$82:$BX$86,2,FALSE)+$D85*$BV83</f>
        <v>0</v>
      </c>
      <c r="I85" s="1164"/>
      <c r="J85" s="1287">
        <f>$E85*HLOOKUP($E$77,$BT$82:$BX$86,3,FALSE)+$D85*$BV84</f>
        <v>0</v>
      </c>
      <c r="K85" s="1287">
        <f>$E85*HLOOKUP($E$77,$BT$82:$BX$86,4,FALSE)+$D85*$BV85</f>
        <v>0</v>
      </c>
      <c r="L85" s="1287">
        <f>$E85*HLOOKUP($E$77,$BT$82:$BX$86,5,FALSE)+$D85*$BV86</f>
        <v>0</v>
      </c>
      <c r="M85" s="1164"/>
      <c r="N85" s="1498"/>
      <c r="O85" s="1498"/>
      <c r="P85" s="1498"/>
      <c r="Q85" s="1498"/>
      <c r="R85" s="1498"/>
      <c r="S85" s="1498"/>
      <c r="T85" s="1498"/>
      <c r="U85" s="1498"/>
      <c r="V85" s="1498"/>
      <c r="W85" s="1498"/>
      <c r="X85" s="1498"/>
      <c r="Y85" s="1498"/>
      <c r="Z85" s="1498"/>
      <c r="AB85" s="1774" t="str">
        <f t="shared" si="17"/>
        <v>* 25-33 mois</v>
      </c>
      <c r="AC85" s="1911">
        <f>$D85*$BV83</f>
        <v>0</v>
      </c>
      <c r="AD85" s="1912">
        <f>$E85*HLOOKUP($E$77,$BT$82:$BX$86,2,FALSE)</f>
        <v>0</v>
      </c>
      <c r="AE85" s="1913">
        <f>$D85*$BV84</f>
        <v>0</v>
      </c>
      <c r="AF85" s="1405">
        <f>$E85*HLOOKUP($E$77,$BT$82:$BX$86,3,FALSE)</f>
        <v>0</v>
      </c>
      <c r="AG85" s="1918">
        <f>$D85*$BV85</f>
        <v>0</v>
      </c>
      <c r="AH85" s="1919">
        <f>$E85*HLOOKUP($E$77,$BT$82:$BX$86,4,FALSE)</f>
        <v>0</v>
      </c>
      <c r="AI85" s="17" t="s">
        <v>625</v>
      </c>
      <c r="AJ85" s="1308">
        <f>Paramètres!BC136</f>
        <v>34</v>
      </c>
      <c r="AK85" s="1308">
        <f>Paramètres!BD136</f>
        <v>36</v>
      </c>
      <c r="AL85" s="1308">
        <f>Paramètres!BE136</f>
        <v>39</v>
      </c>
      <c r="AM85" s="1105">
        <v>0</v>
      </c>
      <c r="AN85" s="1611">
        <f>Paramètres!BF136</f>
        <v>17</v>
      </c>
      <c r="AO85" s="1611">
        <f>Paramètres!BG136</f>
        <v>-17</v>
      </c>
      <c r="AQ85" s="17" t="s">
        <v>625</v>
      </c>
      <c r="AR85" s="1105">
        <f>Paramètres!BC144</f>
        <v>65</v>
      </c>
      <c r="AS85" s="1105">
        <f>Paramètres!BD144</f>
        <v>68</v>
      </c>
      <c r="AT85" s="1105">
        <f>Paramètres!BE144</f>
        <v>72</v>
      </c>
      <c r="AU85" s="1105">
        <v>0</v>
      </c>
      <c r="AV85" s="17" t="s">
        <v>625</v>
      </c>
      <c r="AW85" s="1299">
        <f t="shared" si="18"/>
        <v>0</v>
      </c>
      <c r="AX85" s="1300">
        <f t="shared" si="18"/>
        <v>0</v>
      </c>
      <c r="AY85" s="1301">
        <f t="shared" si="18"/>
        <v>0</v>
      </c>
      <c r="AZ85" s="1300">
        <v>0</v>
      </c>
      <c r="BA85" s="1311">
        <f>Paramètres!BC153</f>
        <v>31</v>
      </c>
      <c r="BB85" s="830">
        <f>Paramètres!BD153</f>
        <v>35</v>
      </c>
      <c r="BC85" s="1312">
        <f>Paramètres!BE153</f>
        <v>38</v>
      </c>
      <c r="BD85" s="1311">
        <f>Paramètres!BC159</f>
        <v>33</v>
      </c>
      <c r="BE85" s="830">
        <f>Paramètres!BD159</f>
        <v>36</v>
      </c>
      <c r="BF85" s="1312">
        <f>Paramètres!BE159</f>
        <v>43</v>
      </c>
      <c r="BH85" s="17" t="s">
        <v>625</v>
      </c>
      <c r="BI85" s="1299">
        <f t="shared" si="19"/>
        <v>0</v>
      </c>
      <c r="BJ85" s="1300">
        <f t="shared" si="19"/>
        <v>0</v>
      </c>
      <c r="BK85" s="1301">
        <f t="shared" si="19"/>
        <v>0</v>
      </c>
      <c r="BL85" s="1300">
        <v>0</v>
      </c>
      <c r="BM85" s="1311">
        <f>Paramètres!BC165</f>
        <v>43</v>
      </c>
      <c r="BN85" s="830">
        <f>Paramètres!BD165</f>
        <v>46</v>
      </c>
      <c r="BO85" s="1312">
        <f>Paramètres!BE165</f>
        <v>49</v>
      </c>
      <c r="BP85" s="1311">
        <f>Paramètres!BC171</f>
        <v>46</v>
      </c>
      <c r="BQ85" s="830">
        <f>Paramètres!BD171</f>
        <v>49</v>
      </c>
      <c r="BR85" s="1312">
        <f>Paramètres!BE171</f>
        <v>53</v>
      </c>
      <c r="BT85" s="17" t="s">
        <v>625</v>
      </c>
      <c r="BU85" s="1299">
        <f t="shared" si="20"/>
        <v>0</v>
      </c>
      <c r="BV85" s="1300">
        <f t="shared" si="20"/>
        <v>0</v>
      </c>
      <c r="BW85" s="1301">
        <f t="shared" si="20"/>
        <v>0</v>
      </c>
      <c r="BX85" s="1300">
        <v>0</v>
      </c>
      <c r="BY85" s="1311">
        <f>Paramètres!BC177</f>
        <v>58</v>
      </c>
      <c r="BZ85" s="830">
        <f>Paramètres!BD177</f>
        <v>62</v>
      </c>
      <c r="CA85" s="1312">
        <f>Paramètres!BE177</f>
        <v>67</v>
      </c>
      <c r="CB85" s="1311">
        <f>Paramètres!BC183</f>
        <v>65</v>
      </c>
      <c r="CC85" s="830">
        <f>Paramètres!BD183</f>
        <v>68</v>
      </c>
      <c r="CD85" s="1312">
        <f>Paramètres!BE183</f>
        <v>72</v>
      </c>
      <c r="CF85" s="17" t="s">
        <v>625</v>
      </c>
      <c r="CG85" s="1299">
        <f t="shared" si="21"/>
        <v>0</v>
      </c>
      <c r="CH85" s="1300">
        <f t="shared" si="21"/>
        <v>0</v>
      </c>
      <c r="CI85" s="1301">
        <f t="shared" si="21"/>
        <v>0</v>
      </c>
      <c r="CJ85" s="1300">
        <v>0</v>
      </c>
      <c r="CK85" s="1311">
        <f>Paramètres!BC189</f>
        <v>87</v>
      </c>
      <c r="CL85" s="830">
        <f>Paramètres!BD189</f>
        <v>91</v>
      </c>
      <c r="CM85" s="1312">
        <f>Paramètres!BE189</f>
        <v>96</v>
      </c>
      <c r="CN85" s="1311">
        <f>Paramètres!BC195</f>
        <v>91</v>
      </c>
      <c r="CO85" s="830">
        <f>Paramètres!BD195</f>
        <v>96</v>
      </c>
      <c r="CP85" s="1312">
        <f>Paramètres!BE195</f>
        <v>103</v>
      </c>
    </row>
    <row r="86" spans="1:94" x14ac:dyDescent="0.2">
      <c r="A86" s="1164"/>
      <c r="B86" s="1164"/>
      <c r="C86" s="1732" t="s">
        <v>298</v>
      </c>
      <c r="D86" s="1176">
        <f>Saisies_Exploitation!D87</f>
        <v>0</v>
      </c>
      <c r="E86" s="1176">
        <f>Saisies_Exploitation!E87</f>
        <v>0</v>
      </c>
      <c r="F86" s="1164"/>
      <c r="G86" s="1164"/>
      <c r="H86" s="1287">
        <f>$E86*HLOOKUP($E$77,$CF$82:$CJ$86,2,FALSE)+$D86*$CH83</f>
        <v>0</v>
      </c>
      <c r="I86" s="1164"/>
      <c r="J86" s="1287">
        <f>$E86*HLOOKUP($E$77,$CF$82:$CJ$86,3,FALSE)+$D86*$CH84</f>
        <v>0</v>
      </c>
      <c r="K86" s="1287">
        <f>$E86*HLOOKUP($E$77,$CF$82:$CJ$86,4,FALSE)+$D86*$CH85</f>
        <v>0</v>
      </c>
      <c r="L86" s="1287">
        <f>$E86*HLOOKUP($E$77,$CF$82:$CJ$86,5,FALSE)+$D86*$CH86</f>
        <v>0</v>
      </c>
      <c r="M86" s="1164"/>
      <c r="N86" s="1498"/>
      <c r="O86" s="1498"/>
      <c r="P86" s="1498"/>
      <c r="Q86" s="1498"/>
      <c r="R86" s="1498"/>
      <c r="S86" s="1498"/>
      <c r="T86" s="1498"/>
      <c r="U86" s="1498"/>
      <c r="V86" s="1498"/>
      <c r="W86" s="1498"/>
      <c r="X86" s="1498"/>
      <c r="Y86" s="1498"/>
      <c r="Z86" s="1498"/>
      <c r="AB86" s="1774" t="str">
        <f t="shared" si="17"/>
        <v>* 25-36 mois</v>
      </c>
      <c r="AC86" s="1912">
        <f>$D86*$CH83</f>
        <v>0</v>
      </c>
      <c r="AD86" s="1912">
        <f>$E86*HLOOKUP($E$77,$CF$82:$CJ$86,2,FALSE)</f>
        <v>0</v>
      </c>
      <c r="AE86" s="1405">
        <f>$D86*$CH84</f>
        <v>0</v>
      </c>
      <c r="AF86" s="1405">
        <f>$E86*HLOOKUP($E$77,$CF$82:$CJ$86,3,FALSE)</f>
        <v>0</v>
      </c>
      <c r="AG86" s="1919">
        <f>$D86*$CH85</f>
        <v>0</v>
      </c>
      <c r="AH86" s="1919">
        <f>$E86*HLOOKUP($E$77,$CF$82:$CJ$86,4,FALSE)</f>
        <v>0</v>
      </c>
      <c r="AI86" s="17" t="s">
        <v>187</v>
      </c>
      <c r="AJ86" s="1308">
        <f>Paramètres!BC137</f>
        <v>11</v>
      </c>
      <c r="AK86" s="1308">
        <f>Paramètres!BD137</f>
        <v>12</v>
      </c>
      <c r="AL86" s="1308">
        <f>Paramètres!BE137</f>
        <v>13</v>
      </c>
      <c r="AM86" s="1105">
        <v>0</v>
      </c>
      <c r="AN86" s="1611">
        <f>Paramètres!BF137</f>
        <v>3</v>
      </c>
      <c r="AO86" s="1611">
        <f>Paramètres!BG137</f>
        <v>-3</v>
      </c>
      <c r="AQ86" s="17" t="s">
        <v>187</v>
      </c>
      <c r="AR86" s="1105">
        <f>Paramètres!BC145</f>
        <v>19</v>
      </c>
      <c r="AS86" s="1105">
        <f>Paramètres!BD145</f>
        <v>21</v>
      </c>
      <c r="AT86" s="1105">
        <f>Paramètres!BE145</f>
        <v>24</v>
      </c>
      <c r="AU86" s="1105">
        <v>0</v>
      </c>
      <c r="AV86" s="17" t="s">
        <v>187</v>
      </c>
      <c r="AW86" s="1302">
        <f t="shared" si="18"/>
        <v>0</v>
      </c>
      <c r="AX86" s="1303">
        <f t="shared" si="18"/>
        <v>0</v>
      </c>
      <c r="AY86" s="1304">
        <f t="shared" si="18"/>
        <v>0</v>
      </c>
      <c r="AZ86" s="1303">
        <v>0</v>
      </c>
      <c r="BA86" s="1313">
        <f>Paramètres!BC154</f>
        <v>13</v>
      </c>
      <c r="BB86" s="832">
        <f>Paramètres!BD154</f>
        <v>14</v>
      </c>
      <c r="BC86" s="1314">
        <f>Paramètres!BE154</f>
        <v>16</v>
      </c>
      <c r="BD86" s="1313">
        <f>Paramètres!BC160</f>
        <v>13</v>
      </c>
      <c r="BE86" s="832">
        <f>Paramètres!BD160</f>
        <v>14</v>
      </c>
      <c r="BF86" s="1314">
        <f>Paramètres!BE160</f>
        <v>16</v>
      </c>
      <c r="BH86" s="17" t="s">
        <v>187</v>
      </c>
      <c r="BI86" s="1302">
        <f t="shared" si="19"/>
        <v>0</v>
      </c>
      <c r="BJ86" s="1303">
        <f t="shared" si="19"/>
        <v>0</v>
      </c>
      <c r="BK86" s="1304">
        <f t="shared" si="19"/>
        <v>0</v>
      </c>
      <c r="BL86" s="1303">
        <v>0</v>
      </c>
      <c r="BM86" s="1313">
        <f>Paramètres!BC166</f>
        <v>16</v>
      </c>
      <c r="BN86" s="832">
        <f>Paramètres!BD166</f>
        <v>18</v>
      </c>
      <c r="BO86" s="1314">
        <f>Paramètres!BE166</f>
        <v>21</v>
      </c>
      <c r="BP86" s="1313">
        <f>Paramètres!BC172</f>
        <v>16</v>
      </c>
      <c r="BQ86" s="832">
        <f>Paramètres!BD172</f>
        <v>18</v>
      </c>
      <c r="BR86" s="1314">
        <f>Paramètres!BE172</f>
        <v>21</v>
      </c>
      <c r="BT86" s="17" t="s">
        <v>187</v>
      </c>
      <c r="BU86" s="1302">
        <f t="shared" si="20"/>
        <v>0</v>
      </c>
      <c r="BV86" s="1303">
        <f t="shared" si="20"/>
        <v>0</v>
      </c>
      <c r="BW86" s="1304">
        <f t="shared" si="20"/>
        <v>0</v>
      </c>
      <c r="BX86" s="1303">
        <v>0</v>
      </c>
      <c r="BY86" s="1313">
        <f>Paramètres!BC178</f>
        <v>20</v>
      </c>
      <c r="BZ86" s="832">
        <f>Paramètres!BD178</f>
        <v>22</v>
      </c>
      <c r="CA86" s="1314">
        <f>Paramètres!BE178</f>
        <v>24</v>
      </c>
      <c r="CB86" s="1313">
        <f>Paramètres!BC184</f>
        <v>20</v>
      </c>
      <c r="CC86" s="832">
        <f>Paramètres!BD184</f>
        <v>22</v>
      </c>
      <c r="CD86" s="1314">
        <f>Paramètres!BE184</f>
        <v>24</v>
      </c>
      <c r="CF86" s="17" t="s">
        <v>187</v>
      </c>
      <c r="CG86" s="1302">
        <f t="shared" si="21"/>
        <v>0</v>
      </c>
      <c r="CH86" s="1303">
        <f t="shared" si="21"/>
        <v>0</v>
      </c>
      <c r="CI86" s="1304">
        <f t="shared" si="21"/>
        <v>0</v>
      </c>
      <c r="CJ86" s="1303">
        <v>0</v>
      </c>
      <c r="CK86" s="1313">
        <f>Paramètres!BC190</f>
        <v>26</v>
      </c>
      <c r="CL86" s="832">
        <f>Paramètres!BD190</f>
        <v>28</v>
      </c>
      <c r="CM86" s="1314">
        <f>Paramètres!BE190</f>
        <v>30</v>
      </c>
      <c r="CN86" s="1313">
        <f>Paramètres!BC196</f>
        <v>26</v>
      </c>
      <c r="CO86" s="832">
        <f>Paramètres!BD196</f>
        <v>28</v>
      </c>
      <c r="CP86" s="1314">
        <f>Paramètres!BE196</f>
        <v>30</v>
      </c>
    </row>
    <row r="87" spans="1:94" x14ac:dyDescent="0.2">
      <c r="A87" s="1164"/>
      <c r="B87" s="1164"/>
      <c r="C87" s="1483" t="s">
        <v>1523</v>
      </c>
      <c r="D87" s="1176">
        <f>Saisies_Exploitation!D91</f>
        <v>0</v>
      </c>
      <c r="E87" s="1176">
        <f>Saisies_Exploitation!E91</f>
        <v>0</v>
      </c>
      <c r="F87" s="1164"/>
      <c r="G87" s="1164"/>
      <c r="H87" s="1287">
        <f>(D87+E87)*CO83</f>
        <v>0</v>
      </c>
      <c r="I87" s="1164"/>
      <c r="J87" s="1287">
        <f>(D87+E87)*CO84</f>
        <v>0</v>
      </c>
      <c r="K87" s="1287">
        <f>(D87+E87)*CO85</f>
        <v>0</v>
      </c>
      <c r="L87" s="1287">
        <f>(D87+E87)*CO86</f>
        <v>0</v>
      </c>
      <c r="M87" s="1164"/>
      <c r="N87" s="1498"/>
      <c r="O87" s="1498"/>
      <c r="P87" s="1498"/>
      <c r="Q87" s="1498"/>
      <c r="R87" s="1498"/>
      <c r="S87" s="1498"/>
      <c r="T87" s="1498"/>
      <c r="U87" s="1498"/>
      <c r="V87" s="1498"/>
      <c r="W87" s="1498"/>
      <c r="X87" s="1498"/>
      <c r="Y87" s="1498"/>
      <c r="Z87" s="1498"/>
      <c r="AB87" s="1774" t="str">
        <f t="shared" si="17"/>
        <v xml:space="preserve">   - taureaux</v>
      </c>
      <c r="AC87" s="1912"/>
      <c r="AD87" s="1912"/>
      <c r="AE87" s="1405"/>
      <c r="AF87" s="1405"/>
      <c r="AG87" s="1919"/>
      <c r="AH87" s="1919"/>
      <c r="AJ87"/>
      <c r="AK87"/>
      <c r="AL87"/>
      <c r="AM87"/>
      <c r="AN87"/>
    </row>
    <row r="88" spans="1:94" ht="5.0999999999999996" customHeight="1" x14ac:dyDescent="0.2">
      <c r="A88" s="1164"/>
      <c r="B88" s="1164"/>
      <c r="C88" s="1164"/>
      <c r="D88" s="1164"/>
      <c r="E88" s="1164"/>
      <c r="F88" s="1164"/>
      <c r="G88" s="1164"/>
      <c r="H88" s="1306"/>
      <c r="I88" s="1164"/>
      <c r="J88" s="1164"/>
      <c r="K88" s="1164"/>
      <c r="L88" s="1164"/>
      <c r="M88" s="1164"/>
      <c r="N88" s="1498"/>
      <c r="O88" s="1498"/>
      <c r="P88" s="1498"/>
      <c r="Q88" s="1498"/>
      <c r="R88" s="1498"/>
      <c r="S88" s="1498"/>
      <c r="T88" s="1498"/>
      <c r="U88" s="1498"/>
      <c r="V88" s="1498"/>
      <c r="W88" s="1498"/>
      <c r="X88" s="1498"/>
      <c r="Y88" s="1498"/>
      <c r="Z88" s="1498"/>
      <c r="AB88" s="1774"/>
      <c r="AC88" s="1912"/>
      <c r="AD88" s="1912"/>
      <c r="AE88" s="1405"/>
      <c r="AF88" s="1405"/>
      <c r="AG88" s="1919"/>
      <c r="AH88" s="1919"/>
    </row>
    <row r="89" spans="1:94" x14ac:dyDescent="0.2">
      <c r="A89" s="1164"/>
      <c r="B89" s="1164"/>
      <c r="C89" s="1164" t="s">
        <v>307</v>
      </c>
      <c r="D89" s="1176">
        <f>EN_NbTauril</f>
        <v>0</v>
      </c>
      <c r="E89" s="1164"/>
      <c r="F89" s="1164"/>
      <c r="G89" s="1164"/>
      <c r="H89" s="1287">
        <f>D89*AJ90</f>
        <v>0</v>
      </c>
      <c r="I89" s="1164"/>
      <c r="J89" s="1287">
        <f>D89*AK90</f>
        <v>0</v>
      </c>
      <c r="K89" s="1287">
        <f>D89*AL90</f>
        <v>0</v>
      </c>
      <c r="L89" s="1287">
        <f>D89*AM90</f>
        <v>0</v>
      </c>
      <c r="M89" s="1164"/>
      <c r="N89" s="1498"/>
      <c r="O89" s="1498"/>
      <c r="P89" s="1498"/>
      <c r="Q89" s="1827"/>
      <c r="R89" s="1498"/>
      <c r="S89" s="1498"/>
      <c r="T89" s="1498"/>
      <c r="U89" s="1498"/>
      <c r="V89" s="1498"/>
      <c r="W89" s="1498"/>
      <c r="X89" s="1498"/>
      <c r="Y89" s="1498"/>
      <c r="Z89" s="1498"/>
      <c r="AB89" s="1774" t="str">
        <f>C89</f>
        <v>● Taurillons race à viande</v>
      </c>
      <c r="AC89" s="1912"/>
      <c r="AD89" s="1912">
        <f>D89*AJ90</f>
        <v>0</v>
      </c>
      <c r="AE89" s="1405"/>
      <c r="AF89" s="1405">
        <f>$D89*$AK90</f>
        <v>0</v>
      </c>
      <c r="AG89" s="1919"/>
      <c r="AH89" s="1919">
        <f>$D89*$AL90</f>
        <v>0</v>
      </c>
      <c r="AI89" s="1711" t="s">
        <v>1483</v>
      </c>
      <c r="AJ89" s="712" t="s">
        <v>538</v>
      </c>
      <c r="AK89" s="712" t="s">
        <v>219</v>
      </c>
      <c r="AL89" s="712" t="s">
        <v>625</v>
      </c>
      <c r="AM89" s="712" t="s">
        <v>187</v>
      </c>
      <c r="AN89"/>
      <c r="AR89" s="1704" t="s">
        <v>1484</v>
      </c>
    </row>
    <row r="90" spans="1:94" x14ac:dyDescent="0.2">
      <c r="A90" s="1164"/>
      <c r="B90" s="1164"/>
      <c r="C90" s="1164" t="s">
        <v>308</v>
      </c>
      <c r="D90" s="1176">
        <f>EN_NbTaurilait</f>
        <v>0</v>
      </c>
      <c r="E90" s="1164"/>
      <c r="F90" s="1164"/>
      <c r="G90" s="1164"/>
      <c r="H90" s="1287">
        <f>D90*AJ93</f>
        <v>0</v>
      </c>
      <c r="I90" s="1164"/>
      <c r="J90" s="1287">
        <f>D90*AK93</f>
        <v>0</v>
      </c>
      <c r="K90" s="1287">
        <f>D90*AL93</f>
        <v>0</v>
      </c>
      <c r="L90" s="1287">
        <f>D90*AM93</f>
        <v>0</v>
      </c>
      <c r="M90" s="1164"/>
      <c r="N90" s="1498"/>
      <c r="O90" s="1498"/>
      <c r="P90" s="1498"/>
      <c r="Q90" s="1827"/>
      <c r="R90" s="1498"/>
      <c r="S90" s="1498"/>
      <c r="T90" s="1498"/>
      <c r="U90" s="1498"/>
      <c r="V90" s="1498"/>
      <c r="W90" s="1498"/>
      <c r="X90" s="1498"/>
      <c r="Y90" s="1498"/>
      <c r="Z90" s="1498"/>
      <c r="AB90" s="1774" t="str">
        <f>C90</f>
        <v>● Taurillons race laitière</v>
      </c>
      <c r="AC90" s="1912">
        <f>D90*AJ93</f>
        <v>0</v>
      </c>
      <c r="AD90" s="1912"/>
      <c r="AE90" s="1405">
        <f>$D90*$AK93</f>
        <v>0</v>
      </c>
      <c r="AF90" s="1405"/>
      <c r="AG90" s="1919">
        <f>$D90*$AL93</f>
        <v>0</v>
      </c>
      <c r="AH90" s="1919"/>
      <c r="AI90" s="712" t="s">
        <v>503</v>
      </c>
      <c r="AJ90" s="1712">
        <f>IF(AEN_ConVouV=1,AEN_AppMSV,AR90)</f>
        <v>2700</v>
      </c>
      <c r="AK90" s="1611">
        <f>Paramètres!BD201</f>
        <v>2450</v>
      </c>
      <c r="AL90" s="1611">
        <f>Paramètres!BE201</f>
        <v>72</v>
      </c>
      <c r="AM90" s="1611">
        <f>Paramètres!BF201</f>
        <v>27</v>
      </c>
      <c r="AN90"/>
      <c r="AR90" s="1713">
        <f>Paramètres!BC201</f>
        <v>2700</v>
      </c>
    </row>
    <row r="91" spans="1:94" ht="5.0999999999999996" customHeight="1" x14ac:dyDescent="0.2">
      <c r="A91" s="1164"/>
      <c r="B91" s="1164"/>
      <c r="C91" s="1164"/>
      <c r="D91" s="1164"/>
      <c r="E91" s="1164"/>
      <c r="F91" s="1164"/>
      <c r="G91" s="1164"/>
      <c r="H91" s="1306"/>
      <c r="I91" s="1164"/>
      <c r="J91" s="1164"/>
      <c r="K91" s="1164"/>
      <c r="L91" s="1164"/>
      <c r="M91" s="1164"/>
      <c r="N91" s="1498"/>
      <c r="O91" s="1498"/>
      <c r="P91" s="1498"/>
      <c r="Q91" s="1498"/>
      <c r="R91" s="1498"/>
      <c r="S91" s="1498"/>
      <c r="T91" s="1498"/>
      <c r="U91" s="1498"/>
      <c r="V91" s="1498"/>
      <c r="W91" s="1498"/>
      <c r="X91" s="1498"/>
      <c r="Y91" s="1498"/>
      <c r="Z91" s="1498"/>
      <c r="AB91" s="1774"/>
      <c r="AC91" s="1912"/>
      <c r="AD91" s="1912"/>
      <c r="AE91" s="1405"/>
      <c r="AF91" s="1405"/>
      <c r="AG91" s="1919"/>
      <c r="AH91" s="1919"/>
      <c r="AN91"/>
    </row>
    <row r="92" spans="1:94" x14ac:dyDescent="0.2">
      <c r="A92" s="1164"/>
      <c r="B92" s="1164"/>
      <c r="C92" s="1164" t="s">
        <v>425</v>
      </c>
      <c r="D92" s="1164"/>
      <c r="E92" s="1176" t="str">
        <f>IF(EN_FormGen=1,"léger",IF(EN_FormGen=2,"moyen",IF(EN_FormGen=3,"lourd",".")))</f>
        <v>.</v>
      </c>
      <c r="F92" s="1483" t="s">
        <v>1345</v>
      </c>
      <c r="G92" s="1164"/>
      <c r="H92" s="1306"/>
      <c r="I92" s="1164"/>
      <c r="J92" s="1164"/>
      <c r="K92" s="1164"/>
      <c r="L92" s="1164"/>
      <c r="M92" s="1164"/>
      <c r="N92" s="1498"/>
      <c r="O92" s="1498"/>
      <c r="P92" s="1498"/>
      <c r="Q92" s="1498"/>
      <c r="R92" s="1498"/>
      <c r="S92" s="1498"/>
      <c r="T92" s="1498"/>
      <c r="U92" s="1498"/>
      <c r="V92" s="1498"/>
      <c r="W92" s="1498"/>
      <c r="X92" s="1498"/>
      <c r="Y92" s="1498"/>
      <c r="Z92" s="1498"/>
      <c r="AB92" s="1774" t="str">
        <f t="shared" ref="AB92:AB97" si="22">C92</f>
        <v>● Génisses à l'engraissement</v>
      </c>
      <c r="AC92" s="1912"/>
      <c r="AD92" s="1912"/>
      <c r="AE92" s="1405"/>
      <c r="AF92" s="1405"/>
      <c r="AG92" s="1919"/>
      <c r="AH92" s="1919"/>
      <c r="AI92" s="1711" t="s">
        <v>1483</v>
      </c>
      <c r="AJ92" s="712" t="s">
        <v>538</v>
      </c>
      <c r="AK92" s="712" t="s">
        <v>219</v>
      </c>
      <c r="AL92" s="712" t="s">
        <v>625</v>
      </c>
      <c r="AM92" s="712" t="s">
        <v>187</v>
      </c>
      <c r="AN92"/>
      <c r="AR92" s="1704" t="s">
        <v>1485</v>
      </c>
    </row>
    <row r="93" spans="1:94" x14ac:dyDescent="0.2">
      <c r="A93" s="1164"/>
      <c r="B93" s="1164"/>
      <c r="C93" s="1164" t="s">
        <v>426</v>
      </c>
      <c r="D93" s="1176">
        <f>Saisies_Exploitation!D103</f>
        <v>0</v>
      </c>
      <c r="E93" s="1176">
        <f>Saisies_Exploitation!E103</f>
        <v>0</v>
      </c>
      <c r="F93" s="1164"/>
      <c r="G93" s="1164"/>
      <c r="H93" s="1287">
        <f>$E93*HLOOKUP($E$92,$AV$97:$AZ$101,2,FALSE)+$D93*$AX98</f>
        <v>0</v>
      </c>
      <c r="I93" s="1164"/>
      <c r="J93" s="1287">
        <f>$E93*HLOOKUP($E$92,$AV$97:$AZ$101,3,FALSE)+$D93*$AX99</f>
        <v>0</v>
      </c>
      <c r="K93" s="1287">
        <f>$E93*HLOOKUP($E$92,$AV$97:$AZ$101,4,FALSE)+$D93*$AX100</f>
        <v>0</v>
      </c>
      <c r="L93" s="1287">
        <f>$E93*HLOOKUP($E$92,$AV$97:$AZ$101,5,FALSE)+$D93*$AX101</f>
        <v>0</v>
      </c>
      <c r="M93" s="1164"/>
      <c r="N93" s="1498"/>
      <c r="O93" s="1498"/>
      <c r="P93" s="1498"/>
      <c r="Q93" s="1498"/>
      <c r="R93" s="1498"/>
      <c r="S93" s="1498"/>
      <c r="T93" s="1498"/>
      <c r="U93" s="1498"/>
      <c r="V93" s="1498"/>
      <c r="W93" s="1498"/>
      <c r="X93" s="1498"/>
      <c r="Y93" s="1498"/>
      <c r="Z93" s="1498"/>
      <c r="AB93" s="1774" t="str">
        <f t="shared" si="22"/>
        <v xml:space="preserve">   - génisses année 2</v>
      </c>
      <c r="AC93" s="1912">
        <f>$D93*$AX98</f>
        <v>0</v>
      </c>
      <c r="AD93" s="1912">
        <f>$E93*HLOOKUP($E$92,$AV$97:$AZ$101,2,FALSE)</f>
        <v>0</v>
      </c>
      <c r="AE93" s="1405">
        <f>$D93*$AX99</f>
        <v>0</v>
      </c>
      <c r="AF93" s="1405">
        <f>$E93*HLOOKUP($E$92,$AV$97:$AZ$101,3,FALSE)</f>
        <v>0</v>
      </c>
      <c r="AG93" s="1919">
        <f>$D93*$AX100</f>
        <v>0</v>
      </c>
      <c r="AH93" s="1919">
        <f>$E93*HLOOKUP($E$92,$AV$97:$AZ$101,4,FALSE)</f>
        <v>0</v>
      </c>
      <c r="AI93" s="712" t="s">
        <v>502</v>
      </c>
      <c r="AJ93" s="1712">
        <f>IF(AEN_ConVouL=1,AEN_AppMSL,AR93)</f>
        <v>3200</v>
      </c>
      <c r="AK93" s="1611">
        <f>Paramètres!BD202</f>
        <v>2700</v>
      </c>
      <c r="AL93" s="1611">
        <f>Paramètres!BE202</f>
        <v>85</v>
      </c>
      <c r="AM93" s="1611">
        <f>Paramètres!BF202</f>
        <v>24</v>
      </c>
      <c r="AN93"/>
      <c r="AR93" s="1713">
        <f>Paramètres!BC202</f>
        <v>3200</v>
      </c>
    </row>
    <row r="94" spans="1:94" x14ac:dyDescent="0.2">
      <c r="A94" s="1164"/>
      <c r="B94" s="1164"/>
      <c r="C94" s="1164" t="s">
        <v>427</v>
      </c>
      <c r="D94" s="1164"/>
      <c r="E94" s="1164"/>
      <c r="F94" s="1164"/>
      <c r="G94" s="1164"/>
      <c r="H94" s="1306"/>
      <c r="I94" s="1164"/>
      <c r="J94" s="1306"/>
      <c r="K94" s="1306"/>
      <c r="L94" s="1306"/>
      <c r="M94" s="1164"/>
      <c r="N94" s="1498"/>
      <c r="O94" s="1498"/>
      <c r="P94" s="1498"/>
      <c r="Q94" s="1498"/>
      <c r="R94" s="1498"/>
      <c r="S94" s="1498"/>
      <c r="T94" s="1498"/>
      <c r="U94" s="1498"/>
      <c r="V94" s="1498"/>
      <c r="W94" s="1498"/>
      <c r="X94" s="1498"/>
      <c r="Y94" s="1498"/>
      <c r="Z94" s="1498"/>
      <c r="AB94" s="1774" t="str">
        <f t="shared" si="22"/>
        <v xml:space="preserve">   - génisses année 3</v>
      </c>
      <c r="AC94" s="1912"/>
      <c r="AD94" s="1912"/>
      <c r="AE94" s="1405"/>
      <c r="AF94" s="1405"/>
      <c r="AG94" s="1919"/>
      <c r="AH94" s="1919"/>
    </row>
    <row r="95" spans="1:94" x14ac:dyDescent="0.2">
      <c r="A95" s="1164"/>
      <c r="B95" s="1164"/>
      <c r="C95" s="1289" t="s">
        <v>296</v>
      </c>
      <c r="D95" s="1176">
        <f>Saisies_Exploitation!D107</f>
        <v>0</v>
      </c>
      <c r="E95" s="1176">
        <f>Saisies_Exploitation!E107</f>
        <v>0</v>
      </c>
      <c r="F95" s="1164"/>
      <c r="G95" s="1164"/>
      <c r="H95" s="1287">
        <f>$E95*HLOOKUP($E$92,$BA$97:$BE$101,2,FALSE)+$D95*$BC98</f>
        <v>0</v>
      </c>
      <c r="I95" s="1164"/>
      <c r="J95" s="1287">
        <f>$E95*HLOOKUP($E$92,$BA$97:$BE$101,3,FALSE)+$D95*$BC99</f>
        <v>0</v>
      </c>
      <c r="K95" s="1287">
        <f>$E95*HLOOKUP($E$92,$BA$97:$BE$101,4,FALSE)+$D95*$BC100</f>
        <v>0</v>
      </c>
      <c r="L95" s="1287">
        <f>$E95*HLOOKUP($E$92,$BA$97:$BE$101,5,FALSE)+$D95*$BC101</f>
        <v>0</v>
      </c>
      <c r="M95" s="1164"/>
      <c r="N95" s="1498"/>
      <c r="O95" s="1498"/>
      <c r="P95" s="1498"/>
      <c r="Q95" s="1498"/>
      <c r="R95" s="1498"/>
      <c r="S95" s="1498"/>
      <c r="T95" s="1498"/>
      <c r="U95" s="1498"/>
      <c r="V95" s="1498"/>
      <c r="W95" s="1498"/>
      <c r="X95" s="1498"/>
      <c r="Y95" s="1498"/>
      <c r="Z95" s="1498"/>
      <c r="AB95" s="1774" t="str">
        <f t="shared" si="22"/>
        <v>* 25-30 mois</v>
      </c>
      <c r="AC95" s="1912">
        <f>$D95*$BC98</f>
        <v>0</v>
      </c>
      <c r="AD95" s="1912">
        <f>$E95*HLOOKUP($E$92,$BA$97:$BE$101,2,FALSE)</f>
        <v>0</v>
      </c>
      <c r="AE95" s="1405">
        <f>$D95*$BC99</f>
        <v>0</v>
      </c>
      <c r="AF95" s="1405">
        <f>$E95*HLOOKUP($E$92,$BA$97:$BE$101,3,FALSE)</f>
        <v>0</v>
      </c>
      <c r="AG95" s="1919">
        <f>$D95*$BC100</f>
        <v>0</v>
      </c>
      <c r="AH95" s="1919">
        <f>$E95*HLOOKUP($E$92,$BA$97:$BE$101,4,FALSE)</f>
        <v>0</v>
      </c>
    </row>
    <row r="96" spans="1:94" x14ac:dyDescent="0.2">
      <c r="A96" s="1164"/>
      <c r="B96" s="1164"/>
      <c r="C96" s="1289" t="s">
        <v>297</v>
      </c>
      <c r="D96" s="1176">
        <f>Saisies_Exploitation!D108</f>
        <v>0</v>
      </c>
      <c r="E96" s="1176">
        <f>Saisies_Exploitation!E108</f>
        <v>0</v>
      </c>
      <c r="F96" s="1164"/>
      <c r="G96" s="1164"/>
      <c r="H96" s="1287">
        <f>$E96*HLOOKUP($E$92,$BG$97:$BK$101,2,FALSE)+$D96*$BI98</f>
        <v>0</v>
      </c>
      <c r="I96" s="1164"/>
      <c r="J96" s="1287">
        <f>$E96*HLOOKUP($E$92,$BG$97:$BK$101,3,FALSE)+$D96*$BI99</f>
        <v>0</v>
      </c>
      <c r="K96" s="1287">
        <f>$E96*HLOOKUP($E$92,$BG$97:$BK$101,4,FALSE)+$D96*$BI100</f>
        <v>0</v>
      </c>
      <c r="L96" s="1287">
        <f>$E96*HLOOKUP($E$92,$BG$97:$BK$101,5,FALSE)+$D96*$BI101</f>
        <v>0</v>
      </c>
      <c r="M96" s="1164"/>
      <c r="N96" s="1498"/>
      <c r="O96" s="1498"/>
      <c r="P96" s="1498"/>
      <c r="Q96" s="1498"/>
      <c r="R96" s="1498"/>
      <c r="S96" s="1498"/>
      <c r="T96" s="1498"/>
      <c r="U96" s="1498"/>
      <c r="V96" s="1498"/>
      <c r="W96" s="1498"/>
      <c r="X96" s="1498"/>
      <c r="Y96" s="1498"/>
      <c r="Z96" s="1498"/>
      <c r="AB96" s="1774" t="str">
        <f t="shared" si="22"/>
        <v>* 25-33 mois</v>
      </c>
      <c r="AC96" s="1912">
        <f>$D96*$BI98</f>
        <v>0</v>
      </c>
      <c r="AD96" s="1912">
        <f>$E96*HLOOKUP($E$92,$BG$97:$BK$101,2,FALSE)</f>
        <v>0</v>
      </c>
      <c r="AE96" s="1405">
        <f>$D96*$BI99</f>
        <v>0</v>
      </c>
      <c r="AF96" s="1405">
        <f>$E96*HLOOKUP($E$92,$BG$97:$BK$101,3,FALSE)</f>
        <v>0</v>
      </c>
      <c r="AG96" s="1919">
        <f>$D96*$BI100</f>
        <v>0</v>
      </c>
      <c r="AH96" s="1919">
        <f>$E96*HLOOKUP($E$92,$BG$97:$BK$101,4,FALSE)</f>
        <v>0</v>
      </c>
      <c r="BA96" s="1283" t="s">
        <v>68</v>
      </c>
      <c r="BG96" s="1283" t="s">
        <v>68</v>
      </c>
      <c r="BM96" s="1283" t="s">
        <v>68</v>
      </c>
    </row>
    <row r="97" spans="1:69" x14ac:dyDescent="0.2">
      <c r="A97" s="1164"/>
      <c r="B97" s="1164"/>
      <c r="C97" s="1289" t="s">
        <v>298</v>
      </c>
      <c r="D97" s="1176">
        <f>Saisies_Exploitation!D109</f>
        <v>0</v>
      </c>
      <c r="E97" s="1176">
        <f>Saisies_Exploitation!E109</f>
        <v>0</v>
      </c>
      <c r="F97" s="1164"/>
      <c r="G97" s="1164"/>
      <c r="H97" s="1287">
        <f>$E97*HLOOKUP($E$92,$BM$97:$BQ$101,2,FALSE)+$D97*$BO98</f>
        <v>0</v>
      </c>
      <c r="I97" s="1164"/>
      <c r="J97" s="1287">
        <f>$E97*HLOOKUP($E$92,$BM$97:$BQ$101,3,FALSE)+$D97*$BO99</f>
        <v>0</v>
      </c>
      <c r="K97" s="1287">
        <f>$E97*HLOOKUP($E$92,$BM$97:$BQ$101,4,FALSE)+$D97*$BO100</f>
        <v>0</v>
      </c>
      <c r="L97" s="1287">
        <f>$E97*HLOOKUP($E$92,$BM$97:$BQ$101,5,FALSE)+$D97*$BO101</f>
        <v>0</v>
      </c>
      <c r="M97" s="1164"/>
      <c r="N97" s="1498"/>
      <c r="O97" s="1498"/>
      <c r="P97" s="1498"/>
      <c r="Q97" s="1498"/>
      <c r="R97" s="1498"/>
      <c r="S97" s="1498"/>
      <c r="T97" s="1498"/>
      <c r="U97" s="1498"/>
      <c r="V97" s="1498"/>
      <c r="W97" s="1498"/>
      <c r="X97" s="1498"/>
      <c r="Y97" s="1498"/>
      <c r="Z97" s="1498"/>
      <c r="AB97" s="1774" t="str">
        <f t="shared" si="22"/>
        <v>* 25-36 mois</v>
      </c>
      <c r="AC97" s="1912">
        <f>$D97*$BO98</f>
        <v>0</v>
      </c>
      <c r="AD97" s="1912">
        <f>$E97*HLOOKUP($E$92,$BM$97:$BQ$101,2,FALSE)</f>
        <v>0</v>
      </c>
      <c r="AE97" s="1405">
        <f>$D97*$BO99</f>
        <v>0</v>
      </c>
      <c r="AF97" s="1405">
        <f>$E97*HLOOKUP($E$92,$BM$97:$BQ$101,3,FALSE)</f>
        <v>0</v>
      </c>
      <c r="AG97" s="1919">
        <f>$D97*$BO100</f>
        <v>0</v>
      </c>
      <c r="AH97" s="1919">
        <f>$E97*HLOOKUP($E$92,$BM$97:$BQ$101,4,FALSE)</f>
        <v>0</v>
      </c>
      <c r="AV97" s="1283" t="s">
        <v>67</v>
      </c>
      <c r="AW97" s="712" t="s">
        <v>935</v>
      </c>
      <c r="AX97" s="712" t="s">
        <v>936</v>
      </c>
      <c r="AY97" s="712" t="s">
        <v>937</v>
      </c>
      <c r="AZ97" s="1704" t="s">
        <v>1468</v>
      </c>
      <c r="BA97" s="1283" t="s">
        <v>74</v>
      </c>
      <c r="BB97" s="712" t="s">
        <v>935</v>
      </c>
      <c r="BC97" s="712" t="s">
        <v>936</v>
      </c>
      <c r="BD97" s="712" t="s">
        <v>937</v>
      </c>
      <c r="BE97" s="1704" t="s">
        <v>1468</v>
      </c>
      <c r="BG97" s="1283" t="s">
        <v>75</v>
      </c>
      <c r="BH97" s="712" t="s">
        <v>935</v>
      </c>
      <c r="BI97" s="712" t="s">
        <v>936</v>
      </c>
      <c r="BJ97" s="712" t="s">
        <v>937</v>
      </c>
      <c r="BK97" s="1704" t="s">
        <v>1468</v>
      </c>
      <c r="BM97" s="1283" t="s">
        <v>76</v>
      </c>
      <c r="BN97" s="712" t="s">
        <v>935</v>
      </c>
      <c r="BO97" s="712" t="s">
        <v>936</v>
      </c>
      <c r="BP97" s="712" t="s">
        <v>937</v>
      </c>
      <c r="BQ97" s="1704" t="s">
        <v>1468</v>
      </c>
    </row>
    <row r="98" spans="1:69" ht="5.0999999999999996" customHeight="1" x14ac:dyDescent="0.2">
      <c r="A98" s="1164"/>
      <c r="B98" s="1164"/>
      <c r="C98" s="1164"/>
      <c r="D98" s="1164"/>
      <c r="E98" s="1164"/>
      <c r="F98" s="1164"/>
      <c r="G98" s="1164"/>
      <c r="H98" s="1306"/>
      <c r="I98" s="1164"/>
      <c r="J98" s="1164"/>
      <c r="K98" s="1164"/>
      <c r="L98" s="1164"/>
      <c r="M98" s="1164"/>
      <c r="N98" s="1498"/>
      <c r="O98" s="1498"/>
      <c r="P98" s="1498"/>
      <c r="Q98" s="1498"/>
      <c r="R98" s="1498"/>
      <c r="S98" s="1498"/>
      <c r="T98" s="1498"/>
      <c r="U98" s="1498"/>
      <c r="V98" s="1498"/>
      <c r="W98" s="1498"/>
      <c r="X98" s="1498"/>
      <c r="Y98" s="1498"/>
      <c r="Z98" s="1498"/>
      <c r="AB98" s="1774"/>
      <c r="AC98" s="1912"/>
      <c r="AD98" s="1912"/>
      <c r="AE98" s="1405"/>
      <c r="AF98" s="1405"/>
      <c r="AG98" s="1919"/>
      <c r="AH98" s="1919"/>
      <c r="AV98" s="17" t="s">
        <v>538</v>
      </c>
      <c r="AW98" s="1105">
        <f>Paramètres!BC213</f>
        <v>2600</v>
      </c>
      <c r="AX98" s="1105">
        <f>Paramètres!BD213</f>
        <v>2700</v>
      </c>
      <c r="AY98" s="1105">
        <f>Paramètres!BE213</f>
        <v>2900</v>
      </c>
      <c r="AZ98" s="1105">
        <v>0</v>
      </c>
      <c r="BA98" s="17" t="s">
        <v>538</v>
      </c>
      <c r="BB98" s="1105">
        <f>+Paramètres!BC222</f>
        <v>1800</v>
      </c>
      <c r="BC98" s="1105">
        <f>+Paramètres!BD222</f>
        <v>1900</v>
      </c>
      <c r="BD98" s="1105">
        <f>+Paramètres!BE222</f>
        <v>2100</v>
      </c>
      <c r="BE98" s="1105">
        <v>0</v>
      </c>
      <c r="BG98" s="17" t="s">
        <v>538</v>
      </c>
      <c r="BH98" s="1105">
        <f>+Paramètres!BC228</f>
        <v>2300</v>
      </c>
      <c r="BI98" s="1105">
        <f>+Paramètres!BD228</f>
        <v>2450</v>
      </c>
      <c r="BJ98" s="1105">
        <f>+Paramètres!BE228</f>
        <v>2600</v>
      </c>
      <c r="BK98" s="1105">
        <v>0</v>
      </c>
      <c r="BM98" s="17" t="s">
        <v>538</v>
      </c>
      <c r="BN98" s="1105">
        <f>Paramètres!BC234</f>
        <v>3700</v>
      </c>
      <c r="BO98" s="1105">
        <f>Paramètres!BD234</f>
        <v>3800</v>
      </c>
      <c r="BP98" s="1105">
        <f>Paramètres!BE234</f>
        <v>4000</v>
      </c>
      <c r="BQ98" s="1105">
        <v>0</v>
      </c>
    </row>
    <row r="99" spans="1:69" x14ac:dyDescent="0.2">
      <c r="A99" s="1164"/>
      <c r="B99" s="1164"/>
      <c r="C99" s="1164" t="s">
        <v>303</v>
      </c>
      <c r="D99" s="1164"/>
      <c r="E99" s="1164"/>
      <c r="F99" s="1164"/>
      <c r="G99" s="1164"/>
      <c r="H99" s="1306"/>
      <c r="I99" s="1164"/>
      <c r="J99" s="1164"/>
      <c r="K99" s="1164"/>
      <c r="L99" s="1164"/>
      <c r="M99" s="1164"/>
      <c r="N99" s="1498"/>
      <c r="O99" s="1498"/>
      <c r="P99" s="1498"/>
      <c r="Q99" s="1498"/>
      <c r="R99" s="1498"/>
      <c r="S99" s="1498"/>
      <c r="T99" s="1498"/>
      <c r="U99" s="1498"/>
      <c r="V99" s="1498"/>
      <c r="W99" s="1498"/>
      <c r="X99" s="1498"/>
      <c r="Y99" s="1498"/>
      <c r="Z99" s="1498"/>
      <c r="AB99" s="1774" t="str">
        <f>C99</f>
        <v>● Vaches de réforme</v>
      </c>
      <c r="AC99" s="1912"/>
      <c r="AD99" s="1912"/>
      <c r="AE99" s="1405"/>
      <c r="AF99" s="1405"/>
      <c r="AG99" s="1919"/>
      <c r="AH99" s="1919"/>
      <c r="AI99" s="1283" t="s">
        <v>77</v>
      </c>
      <c r="AJ99" s="712" t="s">
        <v>538</v>
      </c>
      <c r="AK99" s="712" t="s">
        <v>219</v>
      </c>
      <c r="AL99" s="712" t="s">
        <v>625</v>
      </c>
      <c r="AM99" s="712" t="s">
        <v>187</v>
      </c>
      <c r="AO99" s="1283" t="s">
        <v>77</v>
      </c>
      <c r="AP99" s="712" t="s">
        <v>538</v>
      </c>
      <c r="AQ99" s="712" t="s">
        <v>219</v>
      </c>
      <c r="AR99" s="712" t="s">
        <v>625</v>
      </c>
      <c r="AS99" s="712" t="s">
        <v>187</v>
      </c>
      <c r="AV99" s="17" t="s">
        <v>219</v>
      </c>
      <c r="AW99" s="1105">
        <f>Paramètres!BC214</f>
        <v>2100</v>
      </c>
      <c r="AX99" s="1105">
        <f>Paramètres!BD214</f>
        <v>2300</v>
      </c>
      <c r="AY99" s="1105">
        <f>Paramètres!BE214</f>
        <v>2400</v>
      </c>
      <c r="AZ99" s="1105">
        <v>0</v>
      </c>
      <c r="BA99" s="17" t="s">
        <v>219</v>
      </c>
      <c r="BB99" s="1105">
        <f>+Paramètres!BC223</f>
        <v>1400</v>
      </c>
      <c r="BC99" s="1105">
        <f>+Paramètres!BD223</f>
        <v>1600</v>
      </c>
      <c r="BD99" s="1105">
        <f>+Paramètres!BE223</f>
        <v>1750</v>
      </c>
      <c r="BE99" s="1105">
        <v>0</v>
      </c>
      <c r="BG99" s="17" t="s">
        <v>219</v>
      </c>
      <c r="BH99" s="1105">
        <f>+Paramètres!BC229</f>
        <v>1800</v>
      </c>
      <c r="BI99" s="1105">
        <f>+Paramètres!BD229</f>
        <v>1900</v>
      </c>
      <c r="BJ99" s="1105">
        <f>+Paramètres!BE229</f>
        <v>2100</v>
      </c>
      <c r="BK99" s="1105">
        <v>0</v>
      </c>
      <c r="BM99" s="17" t="s">
        <v>219</v>
      </c>
      <c r="BN99" s="1105">
        <f>Paramètres!BC235</f>
        <v>2900</v>
      </c>
      <c r="BO99" s="1105">
        <f>Paramètres!BD235</f>
        <v>3000</v>
      </c>
      <c r="BP99" s="1105">
        <f>Paramètres!BE235</f>
        <v>3200</v>
      </c>
      <c r="BQ99" s="1105">
        <v>0</v>
      </c>
    </row>
    <row r="100" spans="1:69" x14ac:dyDescent="0.2">
      <c r="A100" s="1164"/>
      <c r="B100" s="1164"/>
      <c r="C100" s="1164" t="s">
        <v>304</v>
      </c>
      <c r="D100" s="1176">
        <f>EN_NbVaRefV</f>
        <v>5</v>
      </c>
      <c r="E100" s="1164" t="s">
        <v>310</v>
      </c>
      <c r="F100" s="1176">
        <f>EN_NbMoVaV</f>
        <v>3</v>
      </c>
      <c r="G100" s="1164"/>
      <c r="H100" s="1287">
        <f>D100*AJ100*$F100</f>
        <v>6150</v>
      </c>
      <c r="I100" s="1164"/>
      <c r="J100" s="1287">
        <f>D100*AK100*$F100</f>
        <v>5250</v>
      </c>
      <c r="K100" s="1287">
        <f>D100*AL100*$F100</f>
        <v>165</v>
      </c>
      <c r="L100" s="1287">
        <f>D100*AM100*$F100</f>
        <v>135</v>
      </c>
      <c r="M100" s="1164"/>
      <c r="N100" s="1498"/>
      <c r="O100" s="1498"/>
      <c r="P100" s="1498"/>
      <c r="Q100" s="1498"/>
      <c r="R100" s="1498"/>
      <c r="S100" s="1498"/>
      <c r="T100" s="1498"/>
      <c r="U100" s="1498"/>
      <c r="V100" s="1498"/>
      <c r="W100" s="1498"/>
      <c r="X100" s="1498"/>
      <c r="Y100" s="1498"/>
      <c r="Z100" s="1498"/>
      <c r="AB100" s="1774" t="str">
        <f>C100</f>
        <v xml:space="preserve">   - type viande</v>
      </c>
      <c r="AC100" s="1912"/>
      <c r="AD100" s="1912">
        <f>D100*AJ100*$F100</f>
        <v>6150</v>
      </c>
      <c r="AE100" s="1405"/>
      <c r="AF100" s="1405">
        <f>$D100*$AK100*$F100</f>
        <v>5250</v>
      </c>
      <c r="AG100" s="1919"/>
      <c r="AH100" s="1919">
        <f>$D100*$AL100*$F100</f>
        <v>165</v>
      </c>
      <c r="AI100" s="712" t="s">
        <v>78</v>
      </c>
      <c r="AJ100" s="1291">
        <f>Paramètres!BC242</f>
        <v>410</v>
      </c>
      <c r="AK100" s="1291">
        <f>Paramètres!BD242</f>
        <v>350</v>
      </c>
      <c r="AL100" s="1291">
        <f>Paramètres!BE242</f>
        <v>11</v>
      </c>
      <c r="AM100" s="1291">
        <f>Paramètres!BF242</f>
        <v>9</v>
      </c>
      <c r="AO100" s="712" t="s">
        <v>79</v>
      </c>
      <c r="AP100" s="1291">
        <f>Paramètres!BC243</f>
        <v>450</v>
      </c>
      <c r="AQ100" s="1291">
        <f>Paramètres!BD243</f>
        <v>365</v>
      </c>
      <c r="AR100" s="1291">
        <f>Paramètres!BE243</f>
        <v>12</v>
      </c>
      <c r="AS100" s="1291">
        <f>Paramètres!BF243</f>
        <v>9</v>
      </c>
      <c r="AV100" s="17" t="s">
        <v>625</v>
      </c>
      <c r="AW100" s="1105">
        <f>Paramètres!BC215</f>
        <v>62</v>
      </c>
      <c r="AX100" s="1105">
        <f>Paramètres!BD215</f>
        <v>65</v>
      </c>
      <c r="AY100" s="1105">
        <f>Paramètres!BE215</f>
        <v>69</v>
      </c>
      <c r="AZ100" s="1105">
        <v>0</v>
      </c>
      <c r="BA100" s="17" t="s">
        <v>625</v>
      </c>
      <c r="BB100" s="1105">
        <f>+Paramètres!BC224</f>
        <v>43</v>
      </c>
      <c r="BC100" s="1105">
        <f>+Paramètres!BD224</f>
        <v>46</v>
      </c>
      <c r="BD100" s="1105">
        <f>+Paramètres!BE224</f>
        <v>50</v>
      </c>
      <c r="BE100" s="1105">
        <v>0</v>
      </c>
      <c r="BG100" s="17" t="s">
        <v>625</v>
      </c>
      <c r="BH100" s="1105">
        <f>+Paramètres!BC230</f>
        <v>55</v>
      </c>
      <c r="BI100" s="1105">
        <f>+Paramètres!BD230</f>
        <v>58</v>
      </c>
      <c r="BJ100" s="1105">
        <f>+Paramètres!BE230</f>
        <v>62</v>
      </c>
      <c r="BK100" s="1105">
        <v>0</v>
      </c>
      <c r="BM100" s="17" t="s">
        <v>625</v>
      </c>
      <c r="BN100" s="1105">
        <f>Paramètres!BC236</f>
        <v>88</v>
      </c>
      <c r="BO100" s="1105">
        <f>Paramètres!BD236</f>
        <v>91</v>
      </c>
      <c r="BP100" s="1105">
        <f>Paramètres!BE236</f>
        <v>96</v>
      </c>
      <c r="BQ100" s="1105">
        <v>0</v>
      </c>
    </row>
    <row r="101" spans="1:69" x14ac:dyDescent="0.2">
      <c r="A101" s="1164"/>
      <c r="B101" s="1164"/>
      <c r="C101" s="1164" t="s">
        <v>305</v>
      </c>
      <c r="D101" s="1176">
        <f>EN_NbVaRefL</f>
        <v>14</v>
      </c>
      <c r="E101" s="1164" t="s">
        <v>310</v>
      </c>
      <c r="F101" s="1176">
        <f>EN_NbMoVaL</f>
        <v>4</v>
      </c>
      <c r="G101" s="1164"/>
      <c r="H101" s="1287">
        <f>D101*AP100*$F101</f>
        <v>25200</v>
      </c>
      <c r="I101" s="1164"/>
      <c r="J101" s="1287">
        <f>D101*AQ100*$F101</f>
        <v>20440</v>
      </c>
      <c r="K101" s="1287">
        <f>D101*AR100*$F101</f>
        <v>672</v>
      </c>
      <c r="L101" s="1287">
        <f>D101*AS100*$F101</f>
        <v>504</v>
      </c>
      <c r="M101" s="1164"/>
      <c r="N101" s="1498"/>
      <c r="O101" s="1498"/>
      <c r="P101" s="1498"/>
      <c r="Q101" s="1498"/>
      <c r="R101" s="1498"/>
      <c r="S101" s="1498"/>
      <c r="T101" s="1498"/>
      <c r="U101" s="1498"/>
      <c r="V101" s="1498"/>
      <c r="W101" s="1498"/>
      <c r="X101" s="1498"/>
      <c r="Y101" s="1498"/>
      <c r="Z101" s="1498"/>
      <c r="AB101" s="1774" t="str">
        <f>C101</f>
        <v xml:space="preserve">   - type lait</v>
      </c>
      <c r="AC101" s="1912">
        <f>D101*AP100*$F101</f>
        <v>25200</v>
      </c>
      <c r="AD101" s="1912"/>
      <c r="AE101" s="1405">
        <f>$D101*$AQ100*$F101</f>
        <v>20440</v>
      </c>
      <c r="AF101" s="1405"/>
      <c r="AG101" s="1919">
        <f>$D101*$AR100*$F101</f>
        <v>672</v>
      </c>
      <c r="AH101" s="1919"/>
      <c r="AV101" s="17" t="s">
        <v>187</v>
      </c>
      <c r="AW101" s="1105">
        <f>Paramètres!BC216</f>
        <v>18</v>
      </c>
      <c r="AX101" s="1105">
        <f>Paramètres!BD216</f>
        <v>19</v>
      </c>
      <c r="AY101" s="1105">
        <f>Paramètres!BE216</f>
        <v>21</v>
      </c>
      <c r="AZ101" s="1105">
        <v>0</v>
      </c>
      <c r="BA101" s="17" t="s">
        <v>187</v>
      </c>
      <c r="BB101" s="1105">
        <f>+Paramètres!BC225</f>
        <v>13</v>
      </c>
      <c r="BC101" s="1105">
        <f>+Paramètres!BD225</f>
        <v>14</v>
      </c>
      <c r="BD101" s="1105">
        <f>+Paramètres!BE225</f>
        <v>15</v>
      </c>
      <c r="BE101" s="1105">
        <v>0</v>
      </c>
      <c r="BG101" s="17" t="s">
        <v>187</v>
      </c>
      <c r="BH101" s="1105">
        <f>+Paramètres!BC231</f>
        <v>19</v>
      </c>
      <c r="BI101" s="1105">
        <f>+Paramètres!BD231</f>
        <v>21</v>
      </c>
      <c r="BJ101" s="1105">
        <f>+Paramètres!BE231</f>
        <v>22</v>
      </c>
      <c r="BK101" s="1105">
        <v>0</v>
      </c>
      <c r="BM101" s="17" t="s">
        <v>187</v>
      </c>
      <c r="BN101" s="1105">
        <f>Paramètres!BC237</f>
        <v>24</v>
      </c>
      <c r="BO101" s="1105">
        <f>Paramètres!BD237</f>
        <v>26</v>
      </c>
      <c r="BP101" s="1105">
        <f>Paramètres!BE237</f>
        <v>29</v>
      </c>
      <c r="BQ101" s="1105">
        <v>0</v>
      </c>
    </row>
    <row r="102" spans="1:69" x14ac:dyDescent="0.2">
      <c r="A102" s="1164"/>
      <c r="B102" s="1164"/>
      <c r="C102" s="1164"/>
      <c r="D102" s="1164"/>
      <c r="E102" s="1164"/>
      <c r="F102" s="1164"/>
      <c r="G102" s="1164"/>
      <c r="H102" s="1306"/>
      <c r="I102" s="1164"/>
      <c r="J102" s="1164"/>
      <c r="K102" s="1164"/>
      <c r="L102" s="1164"/>
      <c r="M102" s="1164"/>
      <c r="N102" s="1498"/>
      <c r="O102" s="1498"/>
      <c r="P102" s="1498"/>
      <c r="Q102" s="1498"/>
      <c r="R102" s="1498"/>
      <c r="S102" s="1498"/>
      <c r="T102" s="1498"/>
      <c r="U102" s="1498"/>
      <c r="V102" s="1498"/>
      <c r="W102" s="1498"/>
      <c r="X102" s="1498"/>
      <c r="Y102" s="1498"/>
      <c r="Z102" s="1498"/>
    </row>
    <row r="103" spans="1:69" ht="15.75" x14ac:dyDescent="0.25">
      <c r="A103" s="1273" t="s">
        <v>312</v>
      </c>
      <c r="B103" s="1164"/>
      <c r="C103" s="1164"/>
      <c r="D103" s="1164"/>
      <c r="E103" s="1164"/>
      <c r="F103" s="1570" t="s">
        <v>504</v>
      </c>
      <c r="G103" s="1164"/>
      <c r="H103" s="1307" t="s">
        <v>83</v>
      </c>
      <c r="I103" s="1279"/>
      <c r="J103" s="1324" t="s">
        <v>219</v>
      </c>
      <c r="K103" s="1324" t="s">
        <v>220</v>
      </c>
      <c r="L103" s="1324" t="s">
        <v>221</v>
      </c>
      <c r="M103" s="1164"/>
      <c r="N103" s="1498"/>
      <c r="O103" s="1498"/>
      <c r="P103" s="1498"/>
      <c r="Q103" s="1498"/>
      <c r="R103" s="1498"/>
      <c r="S103" s="1498"/>
      <c r="T103" s="1498"/>
      <c r="U103" s="1498"/>
      <c r="V103" s="1498"/>
      <c r="W103" s="1498"/>
      <c r="X103" s="1498"/>
      <c r="Y103" s="1498"/>
      <c r="Z103" s="1498"/>
    </row>
    <row r="104" spans="1:69" x14ac:dyDescent="0.2">
      <c r="A104" s="1164"/>
      <c r="B104" s="1263" t="s">
        <v>413</v>
      </c>
      <c r="C104" s="1164"/>
      <c r="D104" s="1164"/>
      <c r="E104" s="1164"/>
      <c r="F104" s="1262">
        <f>Saisies_Exploitation!L50</f>
        <v>77.223119999999994</v>
      </c>
      <c r="G104" s="1164"/>
      <c r="H104" s="1287">
        <f>SUM(H62:H68)</f>
        <v>378419.32981999998</v>
      </c>
      <c r="I104" s="1164"/>
      <c r="J104" s="1287">
        <f>SUM(J62:J68)</f>
        <v>342381.33594000002</v>
      </c>
      <c r="K104" s="1287">
        <f>SUM(K62:K68)</f>
        <v>9687.2072786999997</v>
      </c>
      <c r="L104" s="1287">
        <f>SUM(L62:L68)</f>
        <v>3076.26</v>
      </c>
      <c r="M104" s="1164"/>
      <c r="N104" s="1498"/>
      <c r="O104" s="1498"/>
      <c r="P104" s="1498"/>
      <c r="Q104" s="1498"/>
      <c r="R104" s="1498"/>
      <c r="S104" s="1498"/>
      <c r="T104" s="1498"/>
      <c r="U104" s="1498"/>
      <c r="V104" s="1498"/>
      <c r="W104" s="1498"/>
      <c r="X104" s="1498"/>
      <c r="Y104" s="1498"/>
      <c r="Z104" s="1498"/>
    </row>
    <row r="105" spans="1:69" x14ac:dyDescent="0.2">
      <c r="A105" s="1164"/>
      <c r="B105" s="1263" t="s">
        <v>416</v>
      </c>
      <c r="C105" s="1164"/>
      <c r="D105" s="1164"/>
      <c r="E105" s="1164"/>
      <c r="F105" s="1262">
        <f>Saisies_Exploitation!M64</f>
        <v>28.25</v>
      </c>
      <c r="G105" s="1164"/>
      <c r="H105" s="1287">
        <f>SUM(H71:H75)</f>
        <v>154000</v>
      </c>
      <c r="I105" s="1164"/>
      <c r="J105" s="1287">
        <f>SUM(J71:J75)</f>
        <v>122980</v>
      </c>
      <c r="K105" s="1287">
        <f>SUM(K71:K75)</f>
        <v>3768</v>
      </c>
      <c r="L105" s="1287">
        <f>SUM(L71:L75)</f>
        <v>790</v>
      </c>
      <c r="M105" s="1164"/>
      <c r="N105" s="1498"/>
      <c r="O105" s="1498"/>
      <c r="P105" s="1498"/>
      <c r="Q105" s="1498"/>
      <c r="R105" s="1498"/>
      <c r="S105" s="1498"/>
      <c r="T105" s="1498"/>
      <c r="U105" s="1498"/>
      <c r="V105" s="1498"/>
      <c r="W105" s="1498"/>
      <c r="X105" s="1498"/>
      <c r="Y105" s="1498"/>
      <c r="Z105" s="1498"/>
    </row>
    <row r="106" spans="1:69" x14ac:dyDescent="0.2">
      <c r="A106" s="1164"/>
      <c r="B106" s="1483" t="s">
        <v>1266</v>
      </c>
      <c r="C106" s="1164"/>
      <c r="D106" s="1164"/>
      <c r="E106" s="1164"/>
      <c r="F106" s="1262">
        <f>Saisies_Exploitation!N121</f>
        <v>9.3166666666666664</v>
      </c>
      <c r="G106" s="1164"/>
      <c r="H106" s="1287">
        <f>SUM(H79:H101)</f>
        <v>39650</v>
      </c>
      <c r="I106" s="1164"/>
      <c r="J106" s="1287">
        <f>SUM(J79:J101)</f>
        <v>32490</v>
      </c>
      <c r="K106" s="1287">
        <f>SUM(K79:K101)</f>
        <v>1041</v>
      </c>
      <c r="L106" s="1287">
        <f>SUM(L79:L101)</f>
        <v>730</v>
      </c>
      <c r="M106" s="1164"/>
      <c r="N106" s="1498"/>
      <c r="O106" s="1498"/>
      <c r="P106" s="1498"/>
      <c r="Q106" s="1498"/>
      <c r="R106" s="1498"/>
      <c r="S106" s="1498"/>
      <c r="T106" s="1498"/>
      <c r="U106" s="1498"/>
      <c r="V106" s="1498"/>
      <c r="W106" s="1498"/>
      <c r="X106" s="1498"/>
      <c r="Y106" s="1498"/>
      <c r="Z106" s="1498"/>
    </row>
    <row r="107" spans="1:69" ht="15.75" x14ac:dyDescent="0.25">
      <c r="A107" s="1164"/>
      <c r="B107" s="1273" t="s">
        <v>1360</v>
      </c>
      <c r="C107" s="1164"/>
      <c r="D107" s="1164"/>
      <c r="E107" s="1164"/>
      <c r="F107" s="1164"/>
      <c r="G107" s="1164"/>
      <c r="H107" s="1290">
        <f>SUM(H104:H106)</f>
        <v>572069.32981999998</v>
      </c>
      <c r="I107" s="1273"/>
      <c r="J107" s="1290">
        <f>SUM(J104:J106)</f>
        <v>497851.33594000002</v>
      </c>
      <c r="K107" s="1290">
        <f>SUM(K104:K106)</f>
        <v>14496.2072787</v>
      </c>
      <c r="L107" s="1290">
        <f>SUM(L104:L106)</f>
        <v>4596.26</v>
      </c>
      <c r="M107" s="1164"/>
      <c r="N107" s="1498"/>
      <c r="O107" s="1498"/>
      <c r="P107" s="1498"/>
      <c r="Q107" s="1498"/>
      <c r="R107" s="1498"/>
      <c r="S107" s="1498"/>
      <c r="T107" s="1498"/>
      <c r="U107" s="1498"/>
      <c r="V107" s="1498"/>
      <c r="W107" s="1498"/>
      <c r="X107" s="1498"/>
      <c r="Y107" s="1498"/>
      <c r="Z107" s="1498"/>
    </row>
    <row r="108" spans="1:69" ht="15.75" x14ac:dyDescent="0.25">
      <c r="A108" s="1164"/>
      <c r="B108" s="1164"/>
      <c r="C108" s="1164"/>
      <c r="D108" s="1164"/>
      <c r="E108" s="1164"/>
      <c r="F108" s="1164"/>
      <c r="G108" s="1259" t="s">
        <v>84</v>
      </c>
      <c r="H108" s="1290">
        <f>H107/1000</f>
        <v>572.06932982000001</v>
      </c>
      <c r="I108" s="1258" t="s">
        <v>82</v>
      </c>
      <c r="J108" s="1164"/>
      <c r="K108" s="1164"/>
      <c r="L108" s="1164"/>
      <c r="M108" s="1164"/>
      <c r="N108" s="1498"/>
      <c r="O108" s="1498"/>
      <c r="P108" s="1498"/>
      <c r="Q108" s="1498"/>
      <c r="R108" s="1498"/>
      <c r="S108" s="1498"/>
      <c r="T108" s="1498"/>
      <c r="U108" s="1498"/>
      <c r="V108" s="1498"/>
      <c r="W108" s="1498"/>
      <c r="X108" s="1498"/>
      <c r="Y108" s="1498"/>
      <c r="Z108" s="1498"/>
    </row>
    <row r="109" spans="1:69" ht="13.5" thickBot="1" x14ac:dyDescent="0.25">
      <c r="A109" s="1174"/>
      <c r="B109" s="1174"/>
      <c r="C109" s="1174"/>
      <c r="D109" s="1174"/>
      <c r="E109" s="1174"/>
      <c r="F109" s="1174"/>
      <c r="G109" s="1174"/>
      <c r="H109" s="1174"/>
      <c r="I109" s="1174"/>
      <c r="J109" s="1174"/>
      <c r="K109" s="1174"/>
      <c r="L109" s="1174"/>
      <c r="M109" s="1174"/>
      <c r="N109" s="2150"/>
      <c r="O109" s="2150"/>
      <c r="P109" s="2150"/>
      <c r="Q109" s="2150"/>
      <c r="R109" s="2150"/>
      <c r="S109" s="2150"/>
      <c r="T109" s="2150"/>
      <c r="U109" s="2150"/>
      <c r="V109" s="2150"/>
      <c r="W109" s="2150"/>
      <c r="X109" s="2150"/>
      <c r="Y109" s="2150"/>
      <c r="Z109" s="2150"/>
    </row>
    <row r="110" spans="1:69" ht="5.0999999999999996" customHeight="1" thickTop="1" x14ac:dyDescent="0.2">
      <c r="A110" s="2282"/>
      <c r="B110" s="2282"/>
      <c r="C110" s="2282"/>
      <c r="D110" s="2282"/>
      <c r="E110" s="2282"/>
      <c r="F110" s="2282"/>
      <c r="G110" s="2282"/>
      <c r="H110" s="2282"/>
      <c r="I110" s="2282"/>
      <c r="J110" s="2282"/>
      <c r="K110" s="2282"/>
      <c r="L110" s="2282"/>
      <c r="M110" s="2282"/>
      <c r="N110" s="2282"/>
      <c r="O110" s="2282"/>
      <c r="P110" s="2282"/>
      <c r="Q110" s="2282"/>
      <c r="R110" s="2282"/>
      <c r="S110" s="2282"/>
      <c r="T110" s="2282"/>
      <c r="U110" s="2282"/>
      <c r="V110" s="2282"/>
      <c r="W110" s="2282"/>
      <c r="X110" s="2282"/>
      <c r="Y110" s="2282"/>
      <c r="Z110" s="2282"/>
    </row>
    <row r="111" spans="1:69" ht="21" customHeight="1" x14ac:dyDescent="0.3">
      <c r="A111" s="2427" t="s">
        <v>973</v>
      </c>
      <c r="B111" s="2282"/>
      <c r="C111" s="2282"/>
      <c r="D111" s="2282"/>
      <c r="E111" s="2282"/>
      <c r="F111" s="2428"/>
      <c r="G111" s="2282"/>
      <c r="H111" s="2282"/>
      <c r="I111" s="2282"/>
      <c r="J111" s="2282"/>
      <c r="K111" s="2282"/>
      <c r="L111" s="2282"/>
      <c r="M111" s="2282"/>
      <c r="N111" s="2282"/>
      <c r="O111" s="2282"/>
      <c r="P111" s="2282"/>
      <c r="Q111" s="2282"/>
      <c r="R111" s="2282"/>
      <c r="S111" s="2282"/>
      <c r="T111" s="2282"/>
      <c r="U111" s="2282"/>
      <c r="V111" s="2282"/>
      <c r="W111" s="2282"/>
      <c r="X111" s="2282"/>
      <c r="Y111" s="2282"/>
      <c r="Z111" s="2282"/>
    </row>
    <row r="112" spans="1:69" ht="5.0999999999999996" customHeight="1" x14ac:dyDescent="0.2">
      <c r="A112" s="2282"/>
      <c r="B112" s="2282"/>
      <c r="C112" s="2282"/>
      <c r="D112" s="2282"/>
      <c r="E112" s="2282"/>
      <c r="F112" s="2282"/>
      <c r="G112" s="2282"/>
      <c r="H112" s="2282"/>
      <c r="I112" s="2282"/>
      <c r="J112" s="2282"/>
      <c r="K112" s="2282"/>
      <c r="L112" s="2282"/>
      <c r="M112" s="2282"/>
      <c r="N112" s="2282"/>
      <c r="O112" s="2282"/>
      <c r="P112" s="2282"/>
      <c r="Q112" s="2282"/>
      <c r="R112" s="2282"/>
      <c r="S112" s="2282"/>
      <c r="T112" s="2282"/>
      <c r="U112" s="2282"/>
      <c r="V112" s="2282"/>
      <c r="W112" s="2282"/>
      <c r="X112" s="2282"/>
      <c r="Y112" s="2282"/>
      <c r="Z112" s="2282"/>
    </row>
    <row r="113" spans="1:26" ht="15" x14ac:dyDescent="0.25">
      <c r="A113" s="2429"/>
      <c r="B113" s="2282"/>
      <c r="C113" s="2282"/>
      <c r="D113" s="2429"/>
      <c r="E113" s="2429"/>
      <c r="F113" s="2282"/>
      <c r="G113" s="2430" t="s">
        <v>80</v>
      </c>
      <c r="H113" s="2441" t="s">
        <v>1474</v>
      </c>
      <c r="I113" s="2435"/>
      <c r="J113" s="2435"/>
      <c r="K113" s="2282"/>
      <c r="L113" s="2282"/>
      <c r="M113" s="2282"/>
      <c r="N113" s="2282"/>
      <c r="O113" s="2282"/>
      <c r="P113" s="2282"/>
      <c r="Q113" s="2282"/>
      <c r="R113" s="2282"/>
      <c r="S113" s="2282"/>
      <c r="T113" s="2282"/>
      <c r="U113" s="2282"/>
      <c r="V113" s="2282"/>
      <c r="W113" s="2282"/>
      <c r="X113" s="2282"/>
      <c r="Y113" s="2282"/>
      <c r="Z113" s="2282"/>
    </row>
    <row r="114" spans="1:26" x14ac:dyDescent="0.2">
      <c r="A114" s="2282"/>
      <c r="B114" s="2282"/>
      <c r="C114" s="2282"/>
      <c r="D114" s="2282"/>
      <c r="E114" s="2435"/>
      <c r="F114" s="2435"/>
      <c r="G114" s="2436" t="s">
        <v>1538</v>
      </c>
      <c r="H114" s="2437">
        <f>100*H52/H108</f>
        <v>105.41641870396191</v>
      </c>
      <c r="I114" s="2435" t="s">
        <v>509</v>
      </c>
      <c r="J114" s="2435"/>
      <c r="K114" s="2282"/>
      <c r="L114" s="2282"/>
      <c r="M114" s="2282"/>
      <c r="N114" s="2282"/>
      <c r="O114" s="2282"/>
      <c r="P114" s="2282"/>
      <c r="Q114" s="2282"/>
      <c r="R114" s="2282"/>
      <c r="S114" s="2282"/>
      <c r="T114" s="2282"/>
      <c r="U114" s="2282"/>
      <c r="V114" s="2282"/>
      <c r="W114" s="2282"/>
      <c r="X114" s="2282"/>
      <c r="Y114" s="2282"/>
      <c r="Z114" s="2282"/>
    </row>
    <row r="115" spans="1:26" x14ac:dyDescent="0.2">
      <c r="A115" s="2282"/>
      <c r="B115" s="2282"/>
      <c r="C115" s="2282"/>
      <c r="D115" s="2282"/>
      <c r="E115" s="2435"/>
      <c r="F115" s="2435"/>
      <c r="G115" s="2438" t="s">
        <v>1537</v>
      </c>
      <c r="H115" s="2439">
        <f>H55/Ugb_Tot</f>
        <v>5.5941823627978993</v>
      </c>
      <c r="I115" s="2440" t="s">
        <v>510</v>
      </c>
      <c r="J115" s="2435"/>
      <c r="K115" s="2432" t="s">
        <v>1773</v>
      </c>
      <c r="L115" s="2282"/>
      <c r="M115" s="2282"/>
      <c r="N115" s="2282"/>
      <c r="O115" s="2282"/>
      <c r="P115" s="2282"/>
      <c r="Q115" s="2282"/>
      <c r="R115" s="2282"/>
      <c r="S115" s="2282"/>
      <c r="T115" s="2282"/>
      <c r="U115" s="2282"/>
      <c r="V115" s="2282"/>
      <c r="W115" s="2282"/>
      <c r="X115" s="2282"/>
      <c r="Y115" s="2282"/>
      <c r="Z115" s="2282"/>
    </row>
    <row r="116" spans="1:26" x14ac:dyDescent="0.2">
      <c r="A116" s="2282"/>
      <c r="B116" s="2282"/>
      <c r="C116" s="2282"/>
      <c r="D116" s="2282"/>
      <c r="E116" s="2435"/>
      <c r="F116" s="2435"/>
      <c r="G116" s="2438" t="s">
        <v>1532</v>
      </c>
      <c r="H116" s="2439">
        <f>SUM(H7:H9,H14:H16,H21:H23,H26:H27,H31:H36)/Ugb_Tot</f>
        <v>3.0624240205342308</v>
      </c>
      <c r="I116" s="2435" t="s">
        <v>510</v>
      </c>
      <c r="J116" s="2435"/>
      <c r="K116" s="2432" t="s">
        <v>1630</v>
      </c>
      <c r="L116" s="2282"/>
      <c r="M116" s="2282"/>
      <c r="N116" s="2282"/>
      <c r="O116" s="2282"/>
      <c r="P116" s="2282"/>
      <c r="Q116" s="2282"/>
      <c r="R116" s="2282"/>
      <c r="S116" s="2282"/>
      <c r="T116" s="2282"/>
      <c r="U116" s="2282"/>
      <c r="V116" s="2282"/>
      <c r="W116" s="2282"/>
      <c r="X116" s="2282"/>
      <c r="Y116" s="2282"/>
      <c r="Z116" s="2282"/>
    </row>
    <row r="117" spans="1:26" ht="5.0999999999999996" customHeight="1" x14ac:dyDescent="0.2">
      <c r="A117" s="2282"/>
      <c r="B117" s="2282"/>
      <c r="C117" s="2282"/>
      <c r="D117" s="2282"/>
      <c r="E117" s="2282"/>
      <c r="F117" s="2282"/>
      <c r="G117" s="2282"/>
      <c r="H117" s="2282"/>
      <c r="I117" s="2282"/>
      <c r="J117" s="2282"/>
      <c r="K117" s="2282"/>
      <c r="L117" s="2282"/>
      <c r="M117" s="2282"/>
      <c r="N117" s="2282"/>
      <c r="O117" s="2282"/>
      <c r="P117" s="2282"/>
      <c r="Q117" s="2282"/>
      <c r="R117" s="2282"/>
      <c r="S117" s="2282"/>
      <c r="T117" s="2282"/>
      <c r="U117" s="2282"/>
      <c r="V117" s="2282"/>
      <c r="W117" s="2282"/>
      <c r="X117" s="2282"/>
      <c r="Y117" s="2282"/>
      <c r="Z117" s="2282"/>
    </row>
    <row r="118" spans="1:26" ht="15" x14ac:dyDescent="0.25">
      <c r="A118" s="2282"/>
      <c r="B118" s="2282"/>
      <c r="C118" s="2282"/>
      <c r="D118" s="2429"/>
      <c r="E118" s="2282"/>
      <c r="F118" s="2282"/>
      <c r="G118" s="2430" t="s">
        <v>223</v>
      </c>
      <c r="H118" s="2441" t="s">
        <v>1474</v>
      </c>
      <c r="I118" s="2435"/>
      <c r="J118" s="2442" t="s">
        <v>219</v>
      </c>
      <c r="K118" s="2442" t="s">
        <v>220</v>
      </c>
      <c r="L118" s="2442" t="s">
        <v>221</v>
      </c>
      <c r="M118" s="2282"/>
      <c r="N118" s="2282"/>
      <c r="O118" s="2282"/>
      <c r="P118" s="2282"/>
      <c r="Q118" s="2282"/>
      <c r="R118" s="2282"/>
      <c r="S118" s="2282"/>
      <c r="T118" s="2282"/>
      <c r="U118" s="2282"/>
      <c r="V118" s="2282"/>
      <c r="W118" s="2282"/>
      <c r="X118" s="2282"/>
      <c r="Y118" s="2282"/>
      <c r="Z118" s="2282"/>
    </row>
    <row r="119" spans="1:26" x14ac:dyDescent="0.2">
      <c r="A119" s="2282"/>
      <c r="B119" s="2282"/>
      <c r="C119" s="2435"/>
      <c r="D119" s="2435"/>
      <c r="E119" s="2435"/>
      <c r="F119" s="2435"/>
      <c r="G119" s="2436" t="s">
        <v>1629</v>
      </c>
      <c r="H119" s="2437">
        <f>100*H55/H$108</f>
        <v>112.25125461664801</v>
      </c>
      <c r="I119" s="2443" t="s">
        <v>514</v>
      </c>
      <c r="J119" s="2437">
        <f>100*J55/J$107</f>
        <v>108.71389929648163</v>
      </c>
      <c r="K119" s="2437">
        <f>100*K55/K$107</f>
        <v>92.062666761183451</v>
      </c>
      <c r="L119" s="2437">
        <f>100*L55/L$107</f>
        <v>87.421675449169541</v>
      </c>
      <c r="M119" s="2433" t="s">
        <v>514</v>
      </c>
      <c r="N119" s="2282"/>
      <c r="O119" s="2282"/>
      <c r="P119" s="2282"/>
      <c r="Q119" s="2282"/>
      <c r="R119" s="2282"/>
      <c r="S119" s="2282"/>
      <c r="T119" s="2282"/>
      <c r="U119" s="2282"/>
      <c r="V119" s="2282"/>
      <c r="W119" s="2282"/>
      <c r="X119" s="2282"/>
      <c r="Y119" s="2282"/>
      <c r="Z119" s="2282"/>
    </row>
    <row r="120" spans="1:26" x14ac:dyDescent="0.2">
      <c r="A120" s="2282"/>
      <c r="B120" s="2282"/>
      <c r="C120" s="2444"/>
      <c r="D120" s="2444"/>
      <c r="E120" s="2444"/>
      <c r="F120" s="2444"/>
      <c r="G120" s="2445" t="s">
        <v>1539</v>
      </c>
      <c r="H120" s="2446">
        <f>100*H52/H$108</f>
        <v>105.41641870396191</v>
      </c>
      <c r="I120" s="2447" t="s">
        <v>514</v>
      </c>
      <c r="J120" s="2446">
        <f t="shared" ref="J120:L122" si="23">100*J52/J$107</f>
        <v>99.056397843920578</v>
      </c>
      <c r="K120" s="2446">
        <f t="shared" si="23"/>
        <v>84.68142572738418</v>
      </c>
      <c r="L120" s="2446">
        <f t="shared" si="23"/>
        <v>80.557398841666924</v>
      </c>
      <c r="M120" s="2434" t="s">
        <v>514</v>
      </c>
      <c r="N120" s="2282"/>
      <c r="O120" s="2282"/>
      <c r="P120" s="2282"/>
      <c r="Q120" s="2282"/>
      <c r="R120" s="2282"/>
      <c r="S120" s="2282"/>
      <c r="T120" s="2282"/>
      <c r="U120" s="2282"/>
      <c r="V120" s="2282"/>
      <c r="W120" s="2282"/>
      <c r="X120" s="2282"/>
      <c r="Y120" s="2282"/>
      <c r="Z120" s="2282"/>
    </row>
    <row r="121" spans="1:26" x14ac:dyDescent="0.2">
      <c r="A121" s="2282"/>
      <c r="B121" s="2282"/>
      <c r="C121" s="2444"/>
      <c r="D121" s="2444"/>
      <c r="E121" s="2444"/>
      <c r="F121" s="2444"/>
      <c r="G121" s="2445" t="s">
        <v>1535</v>
      </c>
      <c r="H121" s="2446">
        <f>100*H53/H$108</f>
        <v>1.6344172834684132</v>
      </c>
      <c r="I121" s="2447" t="s">
        <v>514</v>
      </c>
      <c r="J121" s="2446">
        <f t="shared" si="23"/>
        <v>2.2757797724109086</v>
      </c>
      <c r="K121" s="2446">
        <f t="shared" si="23"/>
        <v>3.0352766867959589</v>
      </c>
      <c r="L121" s="2446">
        <f t="shared" si="23"/>
        <v>1.9146001314111907</v>
      </c>
      <c r="M121" s="2434" t="s">
        <v>514</v>
      </c>
      <c r="N121" s="2282"/>
      <c r="O121" s="2282"/>
      <c r="P121" s="2282"/>
      <c r="Q121" s="2282"/>
      <c r="R121" s="2282"/>
      <c r="S121" s="2282"/>
      <c r="T121" s="2282"/>
      <c r="U121" s="2282"/>
      <c r="V121" s="2282"/>
      <c r="W121" s="2282"/>
      <c r="X121" s="2282"/>
      <c r="Y121" s="2282"/>
      <c r="Z121" s="2282"/>
    </row>
    <row r="122" spans="1:26" x14ac:dyDescent="0.2">
      <c r="A122" s="2282"/>
      <c r="B122" s="2282"/>
      <c r="C122" s="2444"/>
      <c r="D122" s="2444"/>
      <c r="E122" s="2444"/>
      <c r="F122" s="2444"/>
      <c r="G122" s="2445" t="s">
        <v>1536</v>
      </c>
      <c r="H122" s="2446">
        <f>100*H54/H$108</f>
        <v>5.2004186292176788</v>
      </c>
      <c r="I122" s="2447" t="s">
        <v>514</v>
      </c>
      <c r="J122" s="2446">
        <f t="shared" si="23"/>
        <v>7.3817216801501226</v>
      </c>
      <c r="K122" s="2446">
        <f t="shared" si="23"/>
        <v>4.3459643470033047</v>
      </c>
      <c r="L122" s="2446">
        <f t="shared" si="23"/>
        <v>4.9496764760914305</v>
      </c>
      <c r="M122" s="2434" t="s">
        <v>514</v>
      </c>
      <c r="N122" s="2282"/>
      <c r="O122" s="2282"/>
      <c r="P122" s="2282"/>
      <c r="Q122" s="2282"/>
      <c r="R122" s="2282"/>
      <c r="S122" s="2282"/>
      <c r="T122" s="2282"/>
      <c r="U122" s="2282"/>
      <c r="V122" s="2282"/>
      <c r="W122" s="2282"/>
      <c r="X122" s="2282"/>
      <c r="Y122" s="2282"/>
      <c r="Z122" s="2282"/>
    </row>
    <row r="123" spans="1:26" x14ac:dyDescent="0.2">
      <c r="A123" s="2282"/>
      <c r="B123" s="2282"/>
      <c r="C123" s="2282"/>
      <c r="D123" s="2282"/>
      <c r="E123" s="2282"/>
      <c r="F123" s="2282"/>
      <c r="G123" s="2282"/>
      <c r="H123" s="2282"/>
      <c r="I123" s="2282"/>
      <c r="J123" s="2282"/>
      <c r="K123" s="2282"/>
      <c r="L123" s="2282"/>
      <c r="M123" s="2282"/>
      <c r="N123" s="2282"/>
      <c r="O123" s="2282"/>
      <c r="P123" s="2282"/>
      <c r="Q123" s="2282"/>
      <c r="R123" s="2282"/>
      <c r="S123" s="2282"/>
      <c r="T123" s="2282"/>
      <c r="U123" s="2282"/>
      <c r="V123" s="2282"/>
      <c r="W123" s="2282"/>
      <c r="X123" s="2282"/>
      <c r="Y123" s="2282"/>
      <c r="Z123" s="2282"/>
    </row>
    <row r="124" spans="1:26" ht="15.75" x14ac:dyDescent="0.25">
      <c r="A124" s="1273" t="s">
        <v>2434</v>
      </c>
      <c r="B124" s="1164"/>
      <c r="C124" s="1164"/>
      <c r="D124" s="1164"/>
      <c r="E124" s="1164"/>
      <c r="F124" s="1164"/>
      <c r="G124" s="1164"/>
      <c r="H124" s="1164"/>
      <c r="I124" s="1164"/>
      <c r="J124" s="1164"/>
      <c r="K124" s="1164"/>
      <c r="L124" s="1164"/>
      <c r="M124" s="1164"/>
      <c r="N124" s="1498"/>
      <c r="O124" s="1498"/>
      <c r="P124" s="1498"/>
      <c r="Q124" s="1498"/>
      <c r="R124" s="1498"/>
      <c r="S124" s="1498"/>
      <c r="T124" s="1498"/>
      <c r="U124" s="1498"/>
      <c r="V124" s="1498"/>
      <c r="W124" s="1498"/>
      <c r="X124" s="1498"/>
      <c r="Y124" s="1498"/>
      <c r="Z124" s="1498"/>
    </row>
    <row r="125" spans="1:26" ht="5.0999999999999996" customHeight="1" x14ac:dyDescent="0.2">
      <c r="A125" s="1164"/>
      <c r="B125" s="1164"/>
      <c r="C125" s="1164"/>
      <c r="D125" s="1164"/>
      <c r="E125" s="1164"/>
      <c r="F125" s="1164"/>
      <c r="G125" s="1164"/>
      <c r="H125" s="1164"/>
      <c r="I125" s="1164"/>
      <c r="J125" s="1164"/>
      <c r="K125" s="1164"/>
      <c r="L125" s="1164"/>
      <c r="M125" s="1164"/>
      <c r="N125" s="1498"/>
      <c r="O125" s="1498"/>
      <c r="P125" s="1498"/>
      <c r="Q125" s="1498"/>
      <c r="R125" s="1498"/>
      <c r="S125" s="1498"/>
      <c r="T125" s="1498"/>
      <c r="U125" s="1498"/>
      <c r="V125" s="1498"/>
      <c r="W125" s="1498"/>
      <c r="X125" s="1498"/>
      <c r="Y125" s="1498"/>
      <c r="Z125" s="1498"/>
    </row>
    <row r="126" spans="1:26" x14ac:dyDescent="0.2">
      <c r="A126" s="1164"/>
      <c r="B126" s="1164"/>
      <c r="C126" s="1164"/>
      <c r="D126" s="1164"/>
      <c r="E126" s="1164"/>
      <c r="F126" s="1164"/>
      <c r="G126" s="1164"/>
      <c r="H126" s="1778" t="s">
        <v>538</v>
      </c>
      <c r="I126" s="1164"/>
      <c r="J126" s="1324" t="s">
        <v>219</v>
      </c>
      <c r="K126" s="1324" t="s">
        <v>220</v>
      </c>
      <c r="L126" s="1324" t="s">
        <v>221</v>
      </c>
      <c r="M126" s="1164"/>
      <c r="N126" s="1498"/>
      <c r="O126" s="1498"/>
      <c r="P126" s="1498"/>
      <c r="Q126" s="1498"/>
      <c r="R126" s="1498"/>
      <c r="S126" s="1498"/>
      <c r="T126" s="1498"/>
      <c r="U126" s="1498"/>
      <c r="V126" s="1498"/>
      <c r="W126" s="1498"/>
      <c r="X126" s="1498"/>
      <c r="Y126" s="1498"/>
      <c r="Z126" s="1498"/>
    </row>
    <row r="127" spans="1:26" x14ac:dyDescent="0.2">
      <c r="A127" s="1164"/>
      <c r="B127" s="1164"/>
      <c r="C127" s="1164"/>
      <c r="D127" s="1485" t="s">
        <v>1533</v>
      </c>
      <c r="E127" s="1164"/>
      <c r="F127" s="1164"/>
      <c r="G127" s="1164"/>
      <c r="H127" s="1706" t="s">
        <v>1516</v>
      </c>
      <c r="I127" s="1164"/>
      <c r="J127" s="1164"/>
      <c r="K127" s="1164"/>
      <c r="L127" s="1164"/>
      <c r="M127" s="1164"/>
      <c r="N127" s="1498"/>
      <c r="O127" s="1498"/>
      <c r="P127" s="1498"/>
      <c r="Q127" s="1498"/>
      <c r="R127" s="1498"/>
      <c r="S127" s="1498"/>
      <c r="T127" s="1498"/>
      <c r="U127" s="1498"/>
      <c r="V127" s="1498"/>
      <c r="W127" s="1498"/>
      <c r="X127" s="1498"/>
      <c r="Y127" s="1498"/>
      <c r="Z127" s="1498"/>
    </row>
    <row r="128" spans="1:26" x14ac:dyDescent="0.2">
      <c r="A128" s="1164"/>
      <c r="B128" s="1164"/>
      <c r="C128" s="1164"/>
      <c r="D128" s="1164"/>
      <c r="E128" s="1483" t="s">
        <v>1063</v>
      </c>
      <c r="F128" s="1164"/>
      <c r="G128" s="1164"/>
      <c r="H128" s="1914">
        <f>(AA6+AA13+AA20)/SA_SFP_Herbe</f>
        <v>6.5777692307692313</v>
      </c>
      <c r="I128" s="1483" t="s">
        <v>1068</v>
      </c>
      <c r="J128" s="1856">
        <f>SUM(J7:J24)/SA_SFP_Herbe</f>
        <v>5291.9784615384624</v>
      </c>
      <c r="K128" s="1856">
        <f>SUM(K7:K24)/SA_SFP_Herbe</f>
        <v>157.80530769230771</v>
      </c>
      <c r="L128" s="1856">
        <f>SUM(L7:L24)/SA_SFP_Herbe</f>
        <v>45.6235</v>
      </c>
      <c r="M128" s="1164"/>
      <c r="N128" s="1498"/>
      <c r="O128" s="1498"/>
      <c r="P128" s="1498"/>
      <c r="Q128" s="1498"/>
      <c r="R128" s="1498"/>
      <c r="S128" s="1498"/>
      <c r="T128" s="1498"/>
      <c r="U128" s="1498"/>
      <c r="V128" s="1498"/>
      <c r="W128" s="1498"/>
      <c r="X128" s="1498"/>
      <c r="Y128" s="1498"/>
      <c r="Z128" s="1498"/>
    </row>
    <row r="129" spans="1:27" x14ac:dyDescent="0.2">
      <c r="A129" s="1164"/>
      <c r="B129" s="1164"/>
      <c r="C129" s="1164"/>
      <c r="D129" s="1164"/>
      <c r="E129" s="1483" t="s">
        <v>508</v>
      </c>
      <c r="F129" s="1164"/>
      <c r="G129" s="1164"/>
      <c r="H129" s="1915">
        <f>SUM(AA26:AA49)/SUM(Saisies_Exploitation!$D$26:$D$32)</f>
        <v>8.5839999999999996</v>
      </c>
      <c r="I129" s="1483" t="s">
        <v>1068</v>
      </c>
      <c r="J129" s="1876">
        <f>SUM(J26:J49)/SUM(Saisies_Exploitation!$D$26:$D$32)</f>
        <v>7890.2</v>
      </c>
      <c r="K129" s="1876">
        <f>SUM(K26:K49)/SUM(Saisies_Exploitation!$D$26:$D$32)</f>
        <v>123.53</v>
      </c>
      <c r="L129" s="1876">
        <f>SUM(L26:L49)/SUM(Saisies_Exploitation!$D$26:$D$32)</f>
        <v>42.103999999999999</v>
      </c>
      <c r="M129" s="1164"/>
      <c r="N129" s="1498"/>
      <c r="O129" s="1498"/>
      <c r="P129" s="1498"/>
      <c r="Q129" s="1498"/>
      <c r="R129" s="1498"/>
      <c r="S129" s="1498"/>
      <c r="T129" s="1498"/>
      <c r="U129" s="1498"/>
      <c r="V129" s="1498"/>
      <c r="W129" s="1498"/>
      <c r="X129" s="1498"/>
      <c r="Y129" s="1498"/>
      <c r="Z129" s="1498"/>
    </row>
    <row r="130" spans="1:27" x14ac:dyDescent="0.2">
      <c r="A130" s="1164"/>
      <c r="B130" s="1164"/>
      <c r="C130" s="1164"/>
      <c r="D130" s="1164"/>
      <c r="E130" s="1483" t="s">
        <v>1064</v>
      </c>
      <c r="F130" s="1164"/>
      <c r="G130" s="1164"/>
      <c r="H130" s="1914">
        <f>H55/SA_SFPc</f>
        <v>7.1350555555555566</v>
      </c>
      <c r="I130" s="1483" t="s">
        <v>1068</v>
      </c>
      <c r="J130" s="1856">
        <f>J55/SA_SFPc</f>
        <v>6013.7066666666678</v>
      </c>
      <c r="K130" s="1856">
        <f>K55/SA_SFPc</f>
        <v>148.28438888888891</v>
      </c>
      <c r="L130" s="1856">
        <f>L55/SA_SFPc</f>
        <v>44.64586111111111</v>
      </c>
      <c r="M130" s="1164"/>
      <c r="N130" s="1498"/>
      <c r="O130" s="1498"/>
      <c r="P130" s="1498"/>
      <c r="Q130" s="1498"/>
      <c r="R130" s="1498"/>
      <c r="S130" s="1498"/>
      <c r="T130" s="1498"/>
      <c r="U130" s="1498"/>
      <c r="V130" s="1498"/>
      <c r="W130" s="1498"/>
      <c r="X130" s="1498"/>
      <c r="Y130" s="1498"/>
      <c r="Z130" s="1498"/>
    </row>
    <row r="131" spans="1:27" ht="5.0999999999999996" customHeight="1" x14ac:dyDescent="0.2">
      <c r="A131" s="1164"/>
      <c r="B131" s="1164"/>
      <c r="C131" s="1164"/>
      <c r="D131" s="1164"/>
      <c r="E131" s="1164"/>
      <c r="F131" s="1164"/>
      <c r="G131" s="1164"/>
      <c r="H131" s="1164"/>
      <c r="I131" s="1164"/>
      <c r="J131" s="1164"/>
      <c r="K131" s="1164"/>
      <c r="L131" s="1164"/>
      <c r="M131" s="1164"/>
      <c r="N131" s="1498"/>
      <c r="O131" s="1498"/>
      <c r="P131" s="1498"/>
      <c r="Q131" s="1498"/>
      <c r="R131" s="1498"/>
      <c r="S131" s="1498"/>
      <c r="T131" s="1498"/>
      <c r="U131" s="1498"/>
      <c r="V131" s="1498"/>
      <c r="W131" s="1498"/>
      <c r="X131" s="1498"/>
      <c r="Y131" s="1498"/>
      <c r="Z131" s="1498"/>
    </row>
    <row r="132" spans="1:27" x14ac:dyDescent="0.2">
      <c r="A132" s="1164"/>
      <c r="B132" s="1164"/>
      <c r="C132" s="1164"/>
      <c r="D132" s="1486" t="s">
        <v>1534</v>
      </c>
      <c r="E132" s="1164"/>
      <c r="F132" s="1164"/>
      <c r="G132" s="1164"/>
      <c r="H132" s="1914">
        <f>H115</f>
        <v>5.5941823627978993</v>
      </c>
      <c r="I132" s="1483" t="s">
        <v>1068</v>
      </c>
      <c r="J132" s="1856">
        <f>J55/Ugb_Tot</f>
        <v>4714.9978732138088</v>
      </c>
      <c r="K132" s="1856">
        <f>K55/Ugb_Tot</f>
        <v>116.26117085445699</v>
      </c>
      <c r="L132" s="1856">
        <f>L55/Ugb_Tot</f>
        <v>35.00422482418297</v>
      </c>
      <c r="M132" s="1164"/>
      <c r="N132" s="1498"/>
      <c r="O132" s="1498"/>
      <c r="P132" s="1498"/>
      <c r="Q132" s="1498"/>
      <c r="R132" s="1498"/>
      <c r="S132" s="1498"/>
      <c r="T132" s="1498"/>
      <c r="U132" s="1498"/>
      <c r="V132" s="1498"/>
      <c r="W132" s="1498"/>
      <c r="X132" s="1498"/>
      <c r="Y132" s="1498"/>
      <c r="Z132" s="1498"/>
    </row>
    <row r="133" spans="1:27" x14ac:dyDescent="0.2">
      <c r="A133" s="1164"/>
      <c r="B133" s="1164"/>
      <c r="C133" s="1164"/>
      <c r="D133" s="1483" t="s">
        <v>1065</v>
      </c>
      <c r="E133" s="1164"/>
      <c r="F133" s="1164"/>
      <c r="G133" s="1164"/>
      <c r="H133" s="1914">
        <f>H108/Ugb_Tot</f>
        <v>4.983625690334355</v>
      </c>
      <c r="I133" s="1483" t="s">
        <v>1068</v>
      </c>
      <c r="J133" s="1856">
        <f>J107/Ugb_Tot</f>
        <v>4337.0699641222445</v>
      </c>
      <c r="K133" s="1856">
        <f>K107/Ugb_Tot</f>
        <v>126.28481766234952</v>
      </c>
      <c r="L133" s="1856">
        <f>L107/Ugb_Tot</f>
        <v>40.040670284952185</v>
      </c>
      <c r="M133" s="1164"/>
      <c r="N133" s="1498"/>
      <c r="O133" s="1498"/>
      <c r="P133" s="1498"/>
      <c r="Q133" s="1498"/>
      <c r="R133" s="1498"/>
      <c r="S133" s="1498"/>
      <c r="T133" s="1498"/>
      <c r="U133" s="1498"/>
      <c r="V133" s="1498"/>
      <c r="W133" s="1498"/>
      <c r="X133" s="1498"/>
      <c r="Y133" s="1498"/>
      <c r="Z133" s="1498"/>
    </row>
    <row r="134" spans="1:27" ht="5.0999999999999996" customHeight="1" x14ac:dyDescent="0.2">
      <c r="A134" s="1164"/>
      <c r="B134" s="1164"/>
      <c r="C134" s="1164"/>
      <c r="D134" s="1164"/>
      <c r="E134" s="1164"/>
      <c r="F134" s="1164"/>
      <c r="G134" s="1164"/>
      <c r="H134" s="1164"/>
      <c r="I134" s="1164"/>
      <c r="J134" s="1164"/>
      <c r="K134" s="1164"/>
      <c r="L134" s="1164"/>
      <c r="M134" s="1164"/>
      <c r="N134" s="1498"/>
      <c r="O134" s="1498"/>
      <c r="P134" s="1498"/>
      <c r="Q134" s="1498"/>
      <c r="R134" s="1498"/>
      <c r="S134" s="1498"/>
      <c r="T134" s="1498"/>
      <c r="U134" s="1498"/>
      <c r="V134" s="1498"/>
      <c r="W134" s="1498"/>
      <c r="X134" s="1498"/>
      <c r="Y134" s="1498"/>
      <c r="Z134" s="1498"/>
    </row>
    <row r="135" spans="1:27" x14ac:dyDescent="0.2">
      <c r="A135" s="1164"/>
      <c r="B135" s="1164"/>
      <c r="C135" s="1164"/>
      <c r="D135" s="1259" t="s">
        <v>1203</v>
      </c>
      <c r="E135" s="1164"/>
      <c r="F135" s="1164"/>
      <c r="G135" s="1164"/>
      <c r="H135" s="1916">
        <f>H108-H55</f>
        <v>-70.085670180000079</v>
      </c>
      <c r="I135" s="1259" t="s">
        <v>1068</v>
      </c>
      <c r="J135" s="1871">
        <f>J107-J55</f>
        <v>-43382.264060000074</v>
      </c>
      <c r="K135" s="1871">
        <f>K107-K55</f>
        <v>1150.6122786999986</v>
      </c>
      <c r="L135" s="1871">
        <f>L107-L55</f>
        <v>578.13250000000016</v>
      </c>
      <c r="M135" s="1164"/>
      <c r="N135" s="1498"/>
      <c r="O135" s="1498"/>
      <c r="P135" s="1498"/>
      <c r="Q135" s="1498"/>
      <c r="R135" s="1498"/>
      <c r="S135" s="1498"/>
      <c r="T135" s="1498"/>
      <c r="U135" s="1498"/>
      <c r="V135" s="1498"/>
      <c r="W135" s="1498"/>
      <c r="X135" s="1498"/>
      <c r="Y135" s="1498"/>
      <c r="Z135" s="1498"/>
      <c r="AA135" s="1487" t="s">
        <v>672</v>
      </c>
    </row>
    <row r="136" spans="1:27" x14ac:dyDescent="0.2">
      <c r="A136" s="1164"/>
      <c r="B136" s="1164"/>
      <c r="C136" s="1164"/>
      <c r="D136" s="1483" t="s">
        <v>1067</v>
      </c>
      <c r="E136" s="1164"/>
      <c r="F136" s="1164"/>
      <c r="G136" s="1164"/>
      <c r="H136" s="1545" t="str">
        <f>IF(H$135&lt;0,$AA135,"")</f>
        <v>Excédent</v>
      </c>
      <c r="I136" s="1545"/>
      <c r="J136" s="1545" t="str">
        <f t="shared" ref="J136:L137" si="24">IF(J$135&lt;0,$AA135,"")</f>
        <v>Excédent</v>
      </c>
      <c r="K136" s="1545" t="str">
        <f t="shared" si="24"/>
        <v/>
      </c>
      <c r="L136" s="1545" t="str">
        <f t="shared" si="24"/>
        <v/>
      </c>
      <c r="M136" s="1164"/>
      <c r="N136" s="1498"/>
      <c r="O136" s="1498"/>
      <c r="P136" s="1498"/>
      <c r="Q136" s="1498"/>
      <c r="R136" s="1498"/>
      <c r="S136" s="1498"/>
      <c r="T136" s="1498"/>
      <c r="U136" s="1498"/>
      <c r="V136" s="1498"/>
      <c r="W136" s="1498"/>
      <c r="X136" s="1498"/>
      <c r="Y136" s="1498"/>
      <c r="Z136" s="1498"/>
      <c r="AA136" s="1487" t="s">
        <v>1066</v>
      </c>
    </row>
    <row r="137" spans="1:27" ht="37.5" customHeight="1" x14ac:dyDescent="0.2">
      <c r="A137" s="1693"/>
      <c r="B137" s="1693"/>
      <c r="C137" s="1693"/>
      <c r="D137" s="1693"/>
      <c r="E137" s="1693"/>
      <c r="F137" s="1693"/>
      <c r="G137" s="1164"/>
      <c r="H137" s="1546" t="str">
        <f>IF(H$135&lt;0,$AA136,"")</f>
        <v>pas de correction à apporter</v>
      </c>
      <c r="I137" s="1546"/>
      <c r="J137" s="1546" t="str">
        <f t="shared" si="24"/>
        <v>pas de correction à apporter</v>
      </c>
      <c r="K137" s="1546" t="str">
        <f t="shared" si="24"/>
        <v/>
      </c>
      <c r="L137" s="1546" t="str">
        <f t="shared" si="24"/>
        <v/>
      </c>
      <c r="M137" s="1164"/>
      <c r="N137" s="1498"/>
      <c r="O137" s="1498"/>
      <c r="P137" s="1498"/>
      <c r="Q137" s="1498"/>
      <c r="R137" s="1498"/>
      <c r="S137" s="1498"/>
      <c r="T137" s="1498"/>
      <c r="U137" s="1498"/>
      <c r="V137" s="1498"/>
      <c r="W137" s="1498"/>
      <c r="X137" s="1498"/>
      <c r="Y137" s="1498"/>
      <c r="Z137" s="1498"/>
    </row>
    <row r="138" spans="1:27" ht="5.0999999999999996" customHeight="1" x14ac:dyDescent="0.2">
      <c r="A138" s="1164"/>
      <c r="B138" s="1164"/>
      <c r="C138" s="1164"/>
      <c r="D138" s="1164"/>
      <c r="E138" s="1164"/>
      <c r="F138" s="1164"/>
      <c r="G138" s="1164"/>
      <c r="H138" s="1164"/>
      <c r="I138" s="1164"/>
      <c r="J138" s="1164"/>
      <c r="K138" s="1164"/>
      <c r="L138" s="1164"/>
      <c r="M138" s="1164"/>
      <c r="N138" s="1498"/>
      <c r="O138" s="1498"/>
      <c r="P138" s="1498"/>
      <c r="Q138" s="1498"/>
      <c r="R138" s="1498"/>
      <c r="S138" s="1498"/>
      <c r="T138" s="1498"/>
      <c r="U138" s="1498"/>
      <c r="V138" s="1498"/>
      <c r="W138" s="1498"/>
      <c r="X138" s="1498"/>
      <c r="Y138" s="1498"/>
      <c r="Z138" s="1498"/>
    </row>
    <row r="139" spans="1:27" ht="12.75" customHeight="1" x14ac:dyDescent="0.2">
      <c r="A139" s="1164"/>
      <c r="B139" s="1164"/>
      <c r="C139" s="1164"/>
      <c r="D139" s="1259" t="s">
        <v>1658</v>
      </c>
      <c r="E139" s="1164"/>
      <c r="F139" s="1164"/>
      <c r="G139" s="1164"/>
      <c r="H139" s="1164"/>
      <c r="I139" s="1164"/>
      <c r="J139" s="1324" t="s">
        <v>219</v>
      </c>
      <c r="K139" s="1324" t="s">
        <v>1659</v>
      </c>
      <c r="L139" s="1324" t="s">
        <v>1660</v>
      </c>
      <c r="M139" s="1164"/>
      <c r="N139" s="1498"/>
      <c r="O139" s="1498"/>
      <c r="P139" s="1498"/>
      <c r="Q139" s="1498"/>
      <c r="R139" s="1498"/>
      <c r="S139" s="1498"/>
      <c r="T139" s="1498"/>
      <c r="U139" s="1498"/>
      <c r="V139" s="1498"/>
      <c r="W139" s="1498"/>
      <c r="X139" s="1498"/>
      <c r="Y139" s="1498"/>
      <c r="Z139" s="1498"/>
      <c r="AA139" s="1739">
        <v>0.05</v>
      </c>
    </row>
    <row r="140" spans="1:27" ht="12.75" customHeight="1" x14ac:dyDescent="0.2">
      <c r="A140" s="1164"/>
      <c r="B140" s="1164"/>
      <c r="C140" s="1164"/>
      <c r="D140" s="1483" t="s">
        <v>1616</v>
      </c>
      <c r="E140" s="1164"/>
      <c r="F140" s="1164"/>
      <c r="G140" s="1164"/>
      <c r="H140" s="1164"/>
      <c r="I140" s="1483"/>
      <c r="J140" s="1634">
        <f>1000*J107/$H107</f>
        <v>870.26398722799479</v>
      </c>
      <c r="K140" s="1634">
        <f>1000*K107/$H107</f>
        <v>25.339948364757102</v>
      </c>
      <c r="L140" s="1634">
        <f>1000*L107/$H107</f>
        <v>8.0344457575556447</v>
      </c>
      <c r="M140" s="1164"/>
      <c r="N140" s="1498"/>
      <c r="O140" s="1498"/>
      <c r="P140" s="1498"/>
      <c r="Q140" s="1498"/>
      <c r="R140" s="1498"/>
      <c r="S140" s="1498"/>
      <c r="T140" s="1498"/>
      <c r="U140" s="1498"/>
      <c r="V140" s="1498"/>
      <c r="W140" s="1498"/>
      <c r="X140" s="1498"/>
      <c r="Y140" s="1498"/>
      <c r="Z140" s="1498"/>
      <c r="AA140" s="1739">
        <v>0.1</v>
      </c>
    </row>
    <row r="141" spans="1:27" ht="12.75" customHeight="1" x14ac:dyDescent="0.2">
      <c r="A141" s="1164"/>
      <c r="B141" s="1164"/>
      <c r="C141" s="1164"/>
      <c r="D141" s="1483" t="s">
        <v>1617</v>
      </c>
      <c r="E141" s="1164"/>
      <c r="F141" s="1164"/>
      <c r="G141" s="1164"/>
      <c r="H141" s="1164"/>
      <c r="I141" s="1483"/>
      <c r="J141" s="1634">
        <f>J55/$H55</f>
        <v>842.83950136649253</v>
      </c>
      <c r="K141" s="1634">
        <f>K55/$H55</f>
        <v>20.782513567596606</v>
      </c>
      <c r="L141" s="1634">
        <f>L55/$H55</f>
        <v>6.2572548683728995</v>
      </c>
      <c r="M141" s="1164"/>
      <c r="N141" s="1498"/>
      <c r="O141" s="1498"/>
      <c r="P141" s="1498"/>
      <c r="Q141" s="1498"/>
      <c r="R141" s="1498"/>
      <c r="S141" s="1498"/>
      <c r="T141" s="1498"/>
      <c r="U141" s="1498"/>
      <c r="V141" s="1498"/>
      <c r="W141" s="1498"/>
      <c r="X141" s="1498"/>
      <c r="Y141" s="1498"/>
      <c r="Z141" s="1498"/>
      <c r="AA141" s="1739">
        <v>0.15</v>
      </c>
    </row>
    <row r="142" spans="1:27" ht="25.5" customHeight="1" x14ac:dyDescent="0.2">
      <c r="A142" s="1164"/>
      <c r="B142" s="1164"/>
      <c r="C142" s="1164"/>
      <c r="D142" s="1164"/>
      <c r="E142" s="1164"/>
      <c r="F142" s="1164"/>
      <c r="G142" s="1164"/>
      <c r="H142" s="1164"/>
      <c r="I142" s="3292" t="s">
        <v>2342</v>
      </c>
      <c r="J142" s="3292"/>
      <c r="K142" s="3292"/>
      <c r="L142" s="3292"/>
      <c r="M142" s="3292"/>
      <c r="N142" s="3292"/>
      <c r="O142" s="1498"/>
      <c r="P142" s="1498"/>
      <c r="Q142" s="1498"/>
      <c r="R142" s="1498"/>
      <c r="S142" s="1498"/>
      <c r="T142" s="1498"/>
      <c r="U142" s="1498"/>
      <c r="V142" s="1498"/>
      <c r="W142" s="1498"/>
      <c r="X142" s="1498"/>
      <c r="Y142" s="1498"/>
      <c r="Z142" s="1498"/>
      <c r="AA142" s="1739">
        <v>0.2</v>
      </c>
    </row>
    <row r="143" spans="1:27" ht="20.25" x14ac:dyDescent="0.3">
      <c r="A143" s="1274" t="s">
        <v>1540</v>
      </c>
      <c r="B143" s="1164"/>
      <c r="C143" s="1164"/>
      <c r="D143" s="1164"/>
      <c r="E143" s="1164"/>
      <c r="F143" s="1164"/>
      <c r="G143" s="1164"/>
      <c r="H143" s="1164"/>
      <c r="I143" s="1164"/>
      <c r="J143" s="1164"/>
      <c r="K143" s="1164"/>
      <c r="L143" s="1164"/>
      <c r="M143" s="1164"/>
      <c r="N143" s="1498"/>
      <c r="O143" s="1498"/>
      <c r="P143" s="1498"/>
      <c r="Q143" s="1498"/>
      <c r="R143" s="1498"/>
      <c r="S143" s="1498"/>
      <c r="T143" s="1498"/>
      <c r="U143" s="1498"/>
      <c r="V143" s="1498"/>
      <c r="W143" s="1498"/>
      <c r="X143" s="1498"/>
      <c r="Y143" s="1498"/>
      <c r="Z143" s="1498"/>
      <c r="AA143" s="1739">
        <v>0.25</v>
      </c>
    </row>
    <row r="144" spans="1:27" x14ac:dyDescent="0.2">
      <c r="A144" s="1164"/>
      <c r="B144" s="1164"/>
      <c r="C144" s="1483" t="s">
        <v>1622</v>
      </c>
      <c r="D144" s="1164"/>
      <c r="E144" s="1164"/>
      <c r="F144" s="1164"/>
      <c r="G144" s="1164"/>
      <c r="H144" s="1164"/>
      <c r="I144" s="1164"/>
      <c r="J144" s="1164"/>
      <c r="K144" s="1164"/>
      <c r="L144" s="1164"/>
      <c r="M144" s="1164"/>
      <c r="N144" s="1498"/>
      <c r="O144" s="1498"/>
      <c r="P144" s="1498"/>
      <c r="Q144" s="1498"/>
      <c r="R144" s="1498"/>
      <c r="S144" s="1498"/>
      <c r="T144" s="1498"/>
      <c r="U144" s="1498"/>
      <c r="V144" s="1498"/>
      <c r="W144" s="1498"/>
      <c r="X144" s="1498"/>
      <c r="Y144" s="1498"/>
      <c r="Z144" s="1498"/>
    </row>
    <row r="145" spans="1:26" x14ac:dyDescent="0.2">
      <c r="A145" s="1164"/>
      <c r="B145" s="1164"/>
      <c r="C145" s="1483" t="s">
        <v>1620</v>
      </c>
      <c r="D145" s="1164"/>
      <c r="E145" s="1164"/>
      <c r="F145" s="1164"/>
      <c r="G145" s="1164"/>
      <c r="H145" s="1164"/>
      <c r="I145" s="1164"/>
      <c r="J145" s="1164"/>
      <c r="K145" s="1164"/>
      <c r="L145" s="1164"/>
      <c r="M145" s="1164"/>
      <c r="N145" s="1498"/>
      <c r="O145" s="1498"/>
      <c r="P145" s="1498"/>
      <c r="Q145" s="1498"/>
      <c r="R145" s="1498"/>
      <c r="S145" s="1498"/>
      <c r="T145" s="1498"/>
      <c r="U145" s="1498"/>
      <c r="V145" s="1498"/>
      <c r="W145" s="1498"/>
      <c r="X145" s="1498"/>
      <c r="Y145" s="1498"/>
      <c r="Z145" s="1498"/>
    </row>
    <row r="146" spans="1:26" x14ac:dyDescent="0.2">
      <c r="A146" s="1164"/>
      <c r="B146" s="1164"/>
      <c r="C146" s="1483"/>
      <c r="D146" s="1164"/>
      <c r="E146" s="1164"/>
      <c r="F146" s="1164"/>
      <c r="G146" s="1164"/>
      <c r="H146" s="1164"/>
      <c r="I146" s="1164"/>
      <c r="J146" s="1256" t="str">
        <f>"Exprimez cette quantité comme la proportion de votre production totale de cette année ("&amp;H55&amp;" T de MS utile)"</f>
        <v>Exprimez cette quantité comme la proportion de votre production totale de cette année (642,155 T de MS utile)</v>
      </c>
      <c r="K146" s="1740"/>
      <c r="L146" s="1164"/>
      <c r="M146" s="1164"/>
      <c r="N146" s="1498"/>
      <c r="O146" s="1498"/>
      <c r="P146" s="1498"/>
      <c r="Q146" s="1498"/>
      <c r="R146" s="1498"/>
      <c r="S146" s="1498"/>
      <c r="T146" s="1498"/>
      <c r="U146" s="1498"/>
      <c r="V146" s="1498"/>
      <c r="W146" s="1498"/>
      <c r="X146" s="1498"/>
      <c r="Y146" s="1498"/>
      <c r="Z146" s="1498"/>
    </row>
    <row r="147" spans="1:26" x14ac:dyDescent="0.2">
      <c r="A147" s="1164"/>
      <c r="B147" s="1164"/>
      <c r="C147" s="1483"/>
      <c r="D147" s="1164"/>
      <c r="E147" s="1164"/>
      <c r="F147" s="1431" t="s">
        <v>1621</v>
      </c>
      <c r="G147" s="1910">
        <f>H55*Aut_PCreserve</f>
        <v>0</v>
      </c>
      <c r="H147" s="1483" t="s">
        <v>1619</v>
      </c>
      <c r="I147" s="1164"/>
      <c r="J147" s="1164"/>
      <c r="K147" s="1164"/>
      <c r="L147" s="1164"/>
      <c r="M147" s="1164"/>
      <c r="N147" s="1498"/>
      <c r="O147" s="1498"/>
      <c r="P147" s="1498"/>
      <c r="Q147" s="1498"/>
      <c r="R147" s="1498"/>
      <c r="S147" s="1498"/>
      <c r="T147" s="1498"/>
      <c r="U147" s="1498"/>
      <c r="V147" s="1498"/>
      <c r="W147" s="1498"/>
      <c r="X147" s="1498"/>
      <c r="Y147" s="1498"/>
      <c r="Z147" s="1498"/>
    </row>
    <row r="148" spans="1:26" ht="5.0999999999999996" customHeight="1" x14ac:dyDescent="0.2">
      <c r="A148" s="1164"/>
      <c r="B148" s="1164"/>
      <c r="C148" s="1483"/>
      <c r="D148" s="1164"/>
      <c r="E148" s="1164"/>
      <c r="F148" s="1164"/>
      <c r="G148" s="1164"/>
      <c r="H148" s="1164"/>
      <c r="I148" s="1164"/>
      <c r="J148" s="1164"/>
      <c r="K148" s="1164"/>
      <c r="L148" s="1164"/>
      <c r="M148" s="1164"/>
      <c r="N148" s="1498"/>
      <c r="O148" s="1498"/>
      <c r="P148" s="1498"/>
      <c r="Q148" s="1498"/>
      <c r="R148" s="1498"/>
      <c r="S148" s="1498"/>
      <c r="T148" s="1498"/>
      <c r="U148" s="1498"/>
      <c r="V148" s="1498"/>
      <c r="W148" s="1498"/>
      <c r="X148" s="1498"/>
      <c r="Y148" s="1498"/>
      <c r="Z148" s="1498"/>
    </row>
    <row r="149" spans="1:26" x14ac:dyDescent="0.2">
      <c r="A149" s="1164"/>
      <c r="B149" s="1164"/>
      <c r="C149" s="1483"/>
      <c r="D149" s="1164"/>
      <c r="E149" s="1164"/>
      <c r="F149" s="1164"/>
      <c r="G149" s="1164"/>
      <c r="H149" s="1778" t="s">
        <v>538</v>
      </c>
      <c r="I149" s="1164"/>
      <c r="J149" s="1324" t="s">
        <v>219</v>
      </c>
      <c r="K149" s="1324" t="s">
        <v>220</v>
      </c>
      <c r="L149" s="1324" t="s">
        <v>221</v>
      </c>
      <c r="M149" s="1164"/>
      <c r="N149" s="1498"/>
      <c r="O149" s="1498"/>
      <c r="P149" s="1498"/>
      <c r="Q149" s="1498"/>
      <c r="R149" s="1498"/>
      <c r="S149" s="1498"/>
      <c r="T149" s="1498"/>
      <c r="U149" s="1498"/>
      <c r="V149" s="1498"/>
      <c r="W149" s="1498"/>
      <c r="X149" s="1498"/>
      <c r="Y149" s="1498"/>
      <c r="Z149" s="1498"/>
    </row>
    <row r="150" spans="1:26" x14ac:dyDescent="0.2">
      <c r="A150" s="1164"/>
      <c r="B150" s="1164"/>
      <c r="C150" s="1483"/>
      <c r="D150" s="1164"/>
      <c r="E150" s="1164"/>
      <c r="F150" s="1164"/>
      <c r="G150" s="1164"/>
      <c r="H150" s="1706" t="s">
        <v>1516</v>
      </c>
      <c r="I150" s="1164"/>
      <c r="J150" s="1164"/>
      <c r="K150" s="1164"/>
      <c r="L150" s="1164"/>
      <c r="M150" s="1164"/>
      <c r="N150" s="1498"/>
      <c r="O150" s="1498"/>
      <c r="P150" s="1498"/>
      <c r="Q150" s="1498"/>
      <c r="R150" s="1498"/>
      <c r="S150" s="1498"/>
      <c r="T150" s="1498"/>
      <c r="U150" s="1498"/>
      <c r="V150" s="1498"/>
      <c r="W150" s="1498"/>
      <c r="X150" s="1498"/>
      <c r="Y150" s="1498"/>
      <c r="Z150" s="1498"/>
    </row>
    <row r="151" spans="1:26" x14ac:dyDescent="0.2">
      <c r="A151" s="1164"/>
      <c r="B151" s="1164"/>
      <c r="C151" s="1483" t="s">
        <v>1541</v>
      </c>
      <c r="D151" s="1164"/>
      <c r="E151" s="1164"/>
      <c r="F151" s="1164"/>
      <c r="G151" s="1164"/>
      <c r="H151" s="1634">
        <f>H55*(1+Aut_PCreserve)</f>
        <v>642.15500000000009</v>
      </c>
      <c r="I151" s="1279"/>
      <c r="J151" s="1634">
        <f>J55*(1+Aut_PCreserve)</f>
        <v>541233.60000000009</v>
      </c>
      <c r="K151" s="1634">
        <f>K55*(1+Aut_PCreserve)</f>
        <v>13345.595000000001</v>
      </c>
      <c r="L151" s="1634">
        <f>L55*(1+Aut_PCreserve)</f>
        <v>4018.1275000000001</v>
      </c>
      <c r="M151" s="1164"/>
      <c r="N151" s="1498"/>
      <c r="O151" s="1498"/>
      <c r="P151" s="1498"/>
      <c r="Q151" s="1498"/>
      <c r="R151" s="1498"/>
      <c r="S151" s="1498"/>
      <c r="T151" s="1498"/>
      <c r="U151" s="1498"/>
      <c r="V151" s="1498"/>
      <c r="W151" s="1498"/>
      <c r="X151" s="1498"/>
      <c r="Y151" s="1498"/>
      <c r="Z151" s="1498"/>
    </row>
    <row r="152" spans="1:26" x14ac:dyDescent="0.2">
      <c r="A152" s="1164"/>
      <c r="B152" s="1164"/>
      <c r="C152" s="1259" t="s">
        <v>1542</v>
      </c>
      <c r="D152" s="1164"/>
      <c r="E152" s="1164"/>
      <c r="F152" s="1164"/>
      <c r="G152" s="1164"/>
      <c r="H152" s="1323">
        <f>100*H151/H$108</f>
        <v>112.25125461664801</v>
      </c>
      <c r="I152" s="1485" t="s">
        <v>514</v>
      </c>
      <c r="J152" s="1323">
        <f>100*J151/J$107</f>
        <v>108.71389929648163</v>
      </c>
      <c r="K152" s="1323">
        <f>100*K151/K$107</f>
        <v>92.062666761183451</v>
      </c>
      <c r="L152" s="1323">
        <f>100*L151/L$107</f>
        <v>87.421675449169541</v>
      </c>
      <c r="M152" s="1485" t="s">
        <v>514</v>
      </c>
      <c r="N152" s="1498"/>
      <c r="O152" s="1498"/>
      <c r="P152" s="1498"/>
      <c r="Q152" s="1498"/>
      <c r="R152" s="1498"/>
      <c r="S152" s="1498"/>
      <c r="T152" s="1498"/>
      <c r="U152" s="1498"/>
      <c r="V152" s="1498"/>
      <c r="W152" s="1498"/>
      <c r="X152" s="1498"/>
      <c r="Y152" s="1498"/>
      <c r="Z152" s="1498"/>
    </row>
    <row r="153" spans="1:26" x14ac:dyDescent="0.2">
      <c r="A153" s="1164"/>
      <c r="B153" s="1164"/>
      <c r="C153" s="1164"/>
      <c r="D153" s="1164"/>
      <c r="E153" s="1164"/>
      <c r="F153" s="1164"/>
      <c r="G153" s="1164"/>
      <c r="H153" s="1164"/>
      <c r="I153" s="1164"/>
      <c r="J153" s="1164"/>
      <c r="K153" s="1164"/>
      <c r="L153" s="1164"/>
      <c r="M153" s="1164"/>
      <c r="N153" s="1498"/>
      <c r="O153" s="1498"/>
      <c r="P153" s="1498"/>
      <c r="Q153" s="1498"/>
      <c r="R153" s="1498"/>
      <c r="S153" s="1498"/>
      <c r="T153" s="1498"/>
      <c r="U153" s="1498"/>
      <c r="V153" s="1498"/>
      <c r="W153" s="1498"/>
      <c r="X153" s="1498"/>
      <c r="Y153" s="1498"/>
      <c r="Z153" s="1498"/>
    </row>
    <row r="154" spans="1:26" x14ac:dyDescent="0.2">
      <c r="A154" s="1164"/>
      <c r="B154" s="1164"/>
      <c r="C154" s="1164"/>
      <c r="D154" s="1486" t="s">
        <v>1618</v>
      </c>
      <c r="E154" s="1164"/>
      <c r="F154" s="1164"/>
      <c r="G154" s="1164"/>
      <c r="H154" s="1694">
        <f>H151/Ugb_Tot</f>
        <v>5.5941823627978993</v>
      </c>
      <c r="I154" s="1483" t="s">
        <v>1068</v>
      </c>
      <c r="J154" s="1856">
        <f>J151/Ugb_Tot</f>
        <v>4714.9978732138088</v>
      </c>
      <c r="K154" s="1856">
        <f>K151/Ugb_Tot</f>
        <v>116.26117085445699</v>
      </c>
      <c r="L154" s="1856">
        <f>L151/Ugb_Tot</f>
        <v>35.00422482418297</v>
      </c>
      <c r="M154" s="1164"/>
      <c r="N154" s="1498"/>
      <c r="O154" s="1498"/>
      <c r="P154" s="1498"/>
      <c r="Q154" s="1498"/>
      <c r="R154" s="1498"/>
      <c r="S154" s="1498"/>
      <c r="T154" s="1498"/>
      <c r="U154" s="1498"/>
      <c r="V154" s="1498"/>
      <c r="W154" s="1498"/>
      <c r="X154" s="1498"/>
      <c r="Y154" s="1498"/>
      <c r="Z154" s="1498"/>
    </row>
    <row r="155" spans="1:26" x14ac:dyDescent="0.2">
      <c r="A155" s="1164"/>
      <c r="B155" s="1164"/>
      <c r="C155" s="1164"/>
      <c r="D155" s="1483" t="s">
        <v>1065</v>
      </c>
      <c r="E155" s="1164"/>
      <c r="F155" s="1164"/>
      <c r="G155" s="1164"/>
      <c r="H155" s="1694">
        <f>H108/Ugb_Tot</f>
        <v>4.983625690334355</v>
      </c>
      <c r="I155" s="1483" t="s">
        <v>1068</v>
      </c>
      <c r="J155" s="1856">
        <f>J107/Ugb_Tot</f>
        <v>4337.0699641222445</v>
      </c>
      <c r="K155" s="1856">
        <f>K107/Ugb_Tot</f>
        <v>126.28481766234952</v>
      </c>
      <c r="L155" s="1856">
        <f>L107/Ugb_Tot</f>
        <v>40.040670284952185</v>
      </c>
      <c r="M155" s="1164"/>
      <c r="N155" s="1498"/>
      <c r="O155" s="1498"/>
      <c r="P155" s="1498"/>
      <c r="Q155" s="1498"/>
      <c r="R155" s="1498"/>
      <c r="S155" s="1498"/>
      <c r="T155" s="1498"/>
      <c r="U155" s="1498"/>
      <c r="V155" s="1498"/>
      <c r="W155" s="1498"/>
      <c r="X155" s="1498"/>
      <c r="Y155" s="1498"/>
      <c r="Z155" s="1498"/>
    </row>
    <row r="156" spans="1:26" x14ac:dyDescent="0.2">
      <c r="A156" s="1164"/>
      <c r="B156" s="1164"/>
      <c r="C156" s="1164"/>
      <c r="D156" s="1164"/>
      <c r="E156" s="1164"/>
      <c r="F156" s="1164"/>
      <c r="G156" s="1164"/>
      <c r="H156" s="1164"/>
      <c r="I156" s="1164"/>
      <c r="J156" s="1164"/>
      <c r="K156" s="1164"/>
      <c r="L156" s="1164"/>
      <c r="M156" s="1164"/>
      <c r="N156" s="1498"/>
      <c r="O156" s="1498"/>
      <c r="P156" s="1498"/>
      <c r="Q156" s="1498"/>
      <c r="R156" s="1498"/>
      <c r="S156" s="1498"/>
      <c r="T156" s="1498"/>
      <c r="U156" s="1498"/>
      <c r="V156" s="1498"/>
      <c r="W156" s="1498"/>
      <c r="X156" s="1498"/>
      <c r="Y156" s="1498"/>
      <c r="Z156" s="1498"/>
    </row>
    <row r="157" spans="1:26" x14ac:dyDescent="0.2">
      <c r="A157" s="1164"/>
      <c r="B157" s="1164"/>
      <c r="C157" s="1164"/>
      <c r="D157" s="1164"/>
      <c r="E157" s="1164"/>
      <c r="F157" s="1164"/>
      <c r="G157" s="1164"/>
      <c r="H157" s="1164"/>
      <c r="I157" s="1164"/>
      <c r="J157" s="1164"/>
      <c r="K157" s="1164"/>
      <c r="L157" s="1164"/>
      <c r="M157" s="1164"/>
      <c r="N157" s="1498"/>
      <c r="O157" s="1498"/>
      <c r="P157" s="1498"/>
      <c r="Q157" s="1498"/>
      <c r="R157" s="1498"/>
      <c r="S157" s="1498"/>
      <c r="T157" s="1498"/>
      <c r="U157" s="1498"/>
      <c r="V157" s="1498"/>
      <c r="W157" s="1498"/>
      <c r="X157" s="1498"/>
      <c r="Y157" s="1498"/>
      <c r="Z157" s="1498"/>
    </row>
    <row r="158" spans="1:26" x14ac:dyDescent="0.2">
      <c r="A158" s="1164"/>
      <c r="B158" s="1164"/>
      <c r="C158" s="1164"/>
      <c r="D158" s="1164"/>
      <c r="E158" s="1164"/>
      <c r="F158" s="1164"/>
      <c r="G158" s="1164"/>
      <c r="H158" s="1164"/>
      <c r="I158" s="1164"/>
      <c r="J158" s="1164"/>
      <c r="K158" s="1164"/>
      <c r="L158" s="1164"/>
      <c r="M158" s="1164"/>
      <c r="N158" s="1498"/>
      <c r="O158" s="1498"/>
      <c r="P158" s="1498"/>
      <c r="Q158" s="1498"/>
      <c r="R158" s="1498"/>
      <c r="S158" s="1498"/>
      <c r="T158" s="1498"/>
      <c r="U158" s="1498"/>
      <c r="V158" s="1498"/>
      <c r="W158" s="1498"/>
      <c r="X158" s="1498"/>
      <c r="Y158" s="1498"/>
      <c r="Z158" s="1498"/>
    </row>
  </sheetData>
  <sheetProtection algorithmName="SHA-512" hashValue="fFX26jYmIhDnV9rL7PO6kz0Rr4TdmDCMOBom63ZJCLy2f7JCPZ1W8NGzlji16p5kNT/39Mh/jyXoXdLlzT0M0Q==" saltValue="nL+6Ue7Pm/gjj1tek2hlxg==" spinCount="100000" sheet="1" objects="1" scenarios="1"/>
  <mergeCells count="7">
    <mergeCell ref="H2:L2"/>
    <mergeCell ref="H58:L58"/>
    <mergeCell ref="AG77:AH77"/>
    <mergeCell ref="N5:O10"/>
    <mergeCell ref="I142:N142"/>
    <mergeCell ref="AC77:AD77"/>
    <mergeCell ref="AE77:AF77"/>
  </mergeCells>
  <phoneticPr fontId="14" type="noConversion"/>
  <conditionalFormatting sqref="H135 J135:L135">
    <cfRule type="cellIs" dxfId="52" priority="1" operator="lessThanOrEqual">
      <formula>0</formula>
    </cfRule>
  </conditionalFormatting>
  <dataValidations count="3">
    <dataValidation type="list" allowBlank="1" showInputMessage="1" showErrorMessage="1" sqref="K146">
      <formula1>$AA$139:$AA$143</formula1>
    </dataValidation>
    <dataValidation type="list" allowBlank="1" showInputMessage="1" showErrorMessage="1" sqref="D8 D15 D22">
      <formula1>$AP$7:$AP$10</formula1>
    </dataValidation>
    <dataValidation type="list" allowBlank="1" showInputMessage="1" showErrorMessage="1" sqref="D9 D16 D23">
      <formula1>$AV$7:$AV$9</formula1>
    </dataValidation>
  </dataValidations>
  <pageMargins left="0.78740157499999996" right="0.78740157499999996" top="0.984251969" bottom="0.984251969" header="0.4921259845" footer="0.492125984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9633" r:id="rId4" name="Button 1">
              <controlPr defaultSize="0" print="0" autoFill="0" autoPict="0" macro="[0]!Efface_Autonomie">
                <anchor moveWithCells="1" sizeWithCells="1">
                  <from>
                    <xdr:col>5</xdr:col>
                    <xdr:colOff>257175</xdr:colOff>
                    <xdr:row>0</xdr:row>
                    <xdr:rowOff>9525</xdr:rowOff>
                  </from>
                  <to>
                    <xdr:col>12</xdr:col>
                    <xdr:colOff>66675</xdr:colOff>
                    <xdr:row>0</xdr:row>
                    <xdr:rowOff>209550</xdr:rowOff>
                  </to>
                </anchor>
              </controlPr>
            </control>
          </mc:Choice>
        </mc:AlternateContent>
        <mc:AlternateContent xmlns:mc="http://schemas.openxmlformats.org/markup-compatibility/2006">
          <mc:Choice Requires="x14">
            <control shapeId="69634" r:id="rId5" name="Button 2">
              <controlPr defaultSize="0" print="0" autoFill="0" autoPict="0" macro="[0]!Retour_Presentation">
                <anchor moveWithCells="1" sizeWithCells="1">
                  <from>
                    <xdr:col>13</xdr:col>
                    <xdr:colOff>114300</xdr:colOff>
                    <xdr:row>0</xdr:row>
                    <xdr:rowOff>0</xdr:rowOff>
                  </from>
                  <to>
                    <xdr:col>14</xdr:col>
                    <xdr:colOff>495300</xdr:colOff>
                    <xdr:row>3</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2">
    <tabColor theme="4" tint="-0.249977111117893"/>
  </sheetPr>
  <dimension ref="A1:BZ132"/>
  <sheetViews>
    <sheetView workbookViewId="0">
      <selection activeCell="F101" sqref="F101"/>
    </sheetView>
  </sheetViews>
  <sheetFormatPr baseColWidth="10" defaultRowHeight="12.75" x14ac:dyDescent="0.2"/>
  <cols>
    <col min="1" max="1" width="14.28515625" customWidth="1"/>
    <col min="3" max="3" width="9.140625" customWidth="1"/>
    <col min="4" max="4" width="24.140625" bestFit="1" customWidth="1"/>
    <col min="5" max="5" width="18.42578125" customWidth="1"/>
    <col min="6" max="6" width="16.85546875" bestFit="1" customWidth="1"/>
    <col min="7" max="7" width="16.42578125" customWidth="1"/>
    <col min="8" max="8" width="8.42578125" customWidth="1"/>
    <col min="9" max="9" width="6.28515625" customWidth="1"/>
    <col min="10" max="10" width="7.85546875" customWidth="1"/>
    <col min="27" max="28" width="5" hidden="1" customWidth="1"/>
    <col min="29" max="29" width="5.7109375" hidden="1" customWidth="1"/>
    <col min="30" max="30" width="6.85546875" hidden="1" customWidth="1"/>
    <col min="31" max="31" width="12.5703125" hidden="1" customWidth="1"/>
    <col min="32" max="32" width="8.42578125" hidden="1" customWidth="1"/>
    <col min="33" max="33" width="11" hidden="1" customWidth="1"/>
    <col min="34" max="34" width="14.42578125" hidden="1" customWidth="1"/>
    <col min="35" max="35" width="13.42578125" hidden="1" customWidth="1"/>
    <col min="36" max="78" width="11.42578125" hidden="1" customWidth="1"/>
  </cols>
  <sheetData>
    <row r="1" spans="1:37" ht="23.25" x14ac:dyDescent="0.35">
      <c r="A1" s="1673" t="s">
        <v>1370</v>
      </c>
      <c r="B1" s="1164"/>
      <c r="C1" s="1164"/>
      <c r="D1" s="1164"/>
      <c r="E1" s="1164"/>
      <c r="F1" s="1164"/>
      <c r="G1" s="1164"/>
      <c r="H1" s="1164"/>
      <c r="I1" s="1164"/>
      <c r="J1" s="1164"/>
      <c r="K1" s="1164"/>
      <c r="L1" s="1498"/>
      <c r="M1" s="1498"/>
      <c r="N1" s="1498"/>
      <c r="O1" s="1498"/>
      <c r="P1" s="1498"/>
      <c r="Q1" s="1498"/>
      <c r="R1" s="1498"/>
      <c r="S1" s="1498"/>
      <c r="T1" s="1498"/>
      <c r="U1" s="1498"/>
      <c r="V1" s="1498"/>
      <c r="W1" s="1498"/>
      <c r="X1" s="1498"/>
      <c r="Y1" s="1498"/>
      <c r="Z1" s="1498"/>
    </row>
    <row r="2" spans="1:37" x14ac:dyDescent="0.2">
      <c r="A2" s="1164"/>
      <c r="B2" s="1258" t="s">
        <v>1358</v>
      </c>
      <c r="C2" s="1164"/>
      <c r="D2" s="1164"/>
      <c r="E2" s="1164"/>
      <c r="F2" s="1164"/>
      <c r="G2" s="1164"/>
      <c r="H2" s="1164"/>
      <c r="I2" s="1164"/>
      <c r="J2" s="1164"/>
      <c r="K2" s="1164"/>
      <c r="L2" s="1498"/>
      <c r="M2" s="1498"/>
      <c r="N2" s="1498"/>
      <c r="O2" s="1498"/>
      <c r="P2" s="1498"/>
      <c r="Q2" s="1498"/>
      <c r="R2" s="1498"/>
      <c r="S2" s="1498"/>
      <c r="T2" s="1498"/>
      <c r="U2" s="1498"/>
      <c r="V2" s="1498"/>
      <c r="W2" s="1498"/>
      <c r="X2" s="1498"/>
      <c r="Y2" s="1498"/>
      <c r="Z2" s="1498"/>
    </row>
    <row r="3" spans="1:37" x14ac:dyDescent="0.2">
      <c r="A3" s="1164"/>
      <c r="B3" s="1164"/>
      <c r="C3" s="1164"/>
      <c r="D3" s="1164"/>
      <c r="E3" s="1164"/>
      <c r="F3" s="1164"/>
      <c r="G3" s="1164"/>
      <c r="H3" s="1164"/>
      <c r="I3" s="1164"/>
      <c r="J3" s="1164"/>
      <c r="K3" s="1164"/>
      <c r="L3" s="1498"/>
      <c r="M3" s="1498"/>
      <c r="N3" s="1498"/>
      <c r="O3" s="1498"/>
      <c r="P3" s="1498"/>
      <c r="Q3" s="1498"/>
      <c r="R3" s="1498"/>
      <c r="S3" s="1498"/>
      <c r="T3" s="1498"/>
      <c r="U3" s="1498"/>
      <c r="V3" s="1498"/>
      <c r="W3" s="1498"/>
      <c r="X3" s="1498"/>
      <c r="Y3" s="1498"/>
      <c r="Z3" s="1498"/>
    </row>
    <row r="4" spans="1:37" ht="15" x14ac:dyDescent="0.2">
      <c r="A4" s="1164"/>
      <c r="B4" s="1164"/>
      <c r="C4" s="1164"/>
      <c r="D4" s="1675" t="s">
        <v>1228</v>
      </c>
      <c r="E4" s="1253"/>
      <c r="F4" s="1478" t="s">
        <v>1162</v>
      </c>
      <c r="G4" s="1478" t="s">
        <v>1669</v>
      </c>
      <c r="H4" s="1478" t="s">
        <v>219</v>
      </c>
      <c r="I4" s="1478" t="s">
        <v>625</v>
      </c>
      <c r="J4" s="1478" t="s">
        <v>187</v>
      </c>
      <c r="K4" s="1"/>
      <c r="L4" s="1498"/>
      <c r="M4" s="1498"/>
      <c r="N4" s="1498"/>
      <c r="O4" s="1498"/>
      <c r="P4" s="1498"/>
      <c r="Q4" s="1498"/>
      <c r="R4" s="1498"/>
      <c r="S4" s="1498"/>
      <c r="T4" s="1498"/>
      <c r="U4" s="1498"/>
      <c r="V4" s="1498"/>
      <c r="W4" s="1498"/>
      <c r="X4" s="1498"/>
      <c r="Y4" s="1498"/>
      <c r="Z4" s="1498"/>
    </row>
    <row r="5" spans="1:37" ht="15" x14ac:dyDescent="0.25">
      <c r="A5" s="1164"/>
      <c r="B5" s="1164"/>
      <c r="C5" s="1164"/>
      <c r="D5" s="1284" t="s">
        <v>413</v>
      </c>
      <c r="E5" s="1253"/>
      <c r="F5" s="1478"/>
      <c r="G5" s="1478" t="s">
        <v>1668</v>
      </c>
      <c r="H5" s="1478"/>
      <c r="I5" s="1478"/>
      <c r="J5" s="1478"/>
      <c r="K5" s="1"/>
      <c r="L5" s="1498"/>
      <c r="M5" s="1498"/>
      <c r="N5" s="1498"/>
      <c r="O5" s="1498"/>
      <c r="P5" s="1498"/>
      <c r="Q5" s="1498"/>
      <c r="R5" s="1498"/>
      <c r="S5" s="1498"/>
      <c r="T5" s="1498"/>
      <c r="U5" s="1498"/>
      <c r="V5" s="1498"/>
      <c r="W5" s="1498"/>
      <c r="X5" s="1498"/>
      <c r="Y5" s="1498"/>
      <c r="Z5" s="1498"/>
      <c r="AA5" s="1529" t="s">
        <v>219</v>
      </c>
      <c r="AB5" s="1529" t="s">
        <v>625</v>
      </c>
      <c r="AC5" s="1529" t="s">
        <v>187</v>
      </c>
      <c r="AD5" s="1951" t="s">
        <v>665</v>
      </c>
      <c r="AE5" s="1960" t="s">
        <v>665</v>
      </c>
      <c r="AG5" s="1525" t="s">
        <v>63</v>
      </c>
      <c r="AH5" s="1370" t="s">
        <v>1172</v>
      </c>
      <c r="AI5" s="1370" t="s">
        <v>1173</v>
      </c>
      <c r="AJ5" s="1487" t="s">
        <v>1374</v>
      </c>
      <c r="AK5" s="1487" t="s">
        <v>1900</v>
      </c>
    </row>
    <row r="6" spans="1:37" x14ac:dyDescent="0.2">
      <c r="A6" s="1164"/>
      <c r="B6" s="1164"/>
      <c r="C6" s="1164"/>
      <c r="D6" s="1524" t="s">
        <v>1164</v>
      </c>
      <c r="E6" s="1253"/>
      <c r="F6" s="18"/>
      <c r="G6" s="18"/>
      <c r="H6" s="1532">
        <f t="shared" ref="H6:J8" si="0">$G6*AA6</f>
        <v>0</v>
      </c>
      <c r="I6" s="1532">
        <f t="shared" si="0"/>
        <v>0</v>
      </c>
      <c r="J6" s="1532">
        <f t="shared" si="0"/>
        <v>0</v>
      </c>
      <c r="K6" s="1"/>
      <c r="L6" s="1498"/>
      <c r="M6" s="1498"/>
      <c r="N6" s="1498"/>
      <c r="O6" s="1498"/>
      <c r="P6" s="1498"/>
      <c r="Q6" s="1498"/>
      <c r="R6" s="1498"/>
      <c r="S6" s="1498"/>
      <c r="T6" s="1498"/>
      <c r="U6" s="1498"/>
      <c r="V6" s="1498"/>
      <c r="W6" s="1498"/>
      <c r="X6" s="1498"/>
      <c r="Y6" s="1498"/>
      <c r="Z6" s="1498"/>
      <c r="AA6" s="1516">
        <f>IF(ISBLANK($F6),0,VLOOKUP($F6,$AG$6:$AI$16,2,FALSE))</f>
        <v>0</v>
      </c>
      <c r="AB6" s="1516">
        <f>IF(ISBLANK($F6),0,VLOOKUP($F6,$AG$6:$AI$16,3,FALSE))</f>
        <v>0</v>
      </c>
      <c r="AC6" s="1681">
        <f>IF(ISBLANK($F6),0,VLOOKUP($F6,$AG$6:$AJ$16,4,FALSE))</f>
        <v>0</v>
      </c>
      <c r="AD6" s="1952">
        <f>IF(ISBLANK($F6),0,VLOOKUP($F6,$AG$6:$AK$16,5,FALSE))</f>
        <v>0</v>
      </c>
      <c r="AE6" s="1337">
        <f>$G6*AD6</f>
        <v>0</v>
      </c>
      <c r="AG6" s="1487" t="s">
        <v>1166</v>
      </c>
      <c r="AH6" s="1526">
        <f>Paramètres!BJ3</f>
        <v>650</v>
      </c>
      <c r="AI6" s="1526">
        <f>Paramètres!BK3</f>
        <v>19</v>
      </c>
      <c r="AJ6" s="1526">
        <f>Paramètres!BL3</f>
        <v>6</v>
      </c>
      <c r="AK6" s="1526">
        <f>Paramètres!BM3</f>
        <v>20</v>
      </c>
    </row>
    <row r="7" spans="1:37" x14ac:dyDescent="0.2">
      <c r="A7" s="1164"/>
      <c r="B7" s="1164"/>
      <c r="C7" s="1164"/>
      <c r="D7" s="1253"/>
      <c r="E7" s="1674"/>
      <c r="F7" s="18"/>
      <c r="G7" s="18"/>
      <c r="H7" s="1532">
        <f t="shared" si="0"/>
        <v>0</v>
      </c>
      <c r="I7" s="1532">
        <f t="shared" si="0"/>
        <v>0</v>
      </c>
      <c r="J7" s="1532">
        <f t="shared" si="0"/>
        <v>0</v>
      </c>
      <c r="K7" s="1"/>
      <c r="L7" s="1498"/>
      <c r="M7" s="1498"/>
      <c r="N7" s="1498"/>
      <c r="O7" s="1498"/>
      <c r="P7" s="1498"/>
      <c r="Q7" s="1498"/>
      <c r="R7" s="1498"/>
      <c r="S7" s="1498"/>
      <c r="T7" s="1498"/>
      <c r="U7" s="1498"/>
      <c r="V7" s="1498"/>
      <c r="W7" s="1498"/>
      <c r="X7" s="1498"/>
      <c r="Y7" s="1498"/>
      <c r="Z7" s="1498"/>
      <c r="AA7" s="1516">
        <f>IF(ISBLANK($F7),0,VLOOKUP($F7,$AG$6:$AI$16,2,FALSE))</f>
        <v>0</v>
      </c>
      <c r="AB7" s="1516">
        <f>IF(ISBLANK($F7),0,VLOOKUP($F7,$AG$6:$AI$16,3,FALSE))</f>
        <v>0</v>
      </c>
      <c r="AC7" s="1681">
        <f>IF(ISBLANK($F7),0,VLOOKUP($F7,$AG$6:$AJ$16,4,FALSE))</f>
        <v>0</v>
      </c>
      <c r="AD7" s="1952">
        <f t="shared" ref="AD7:AD19" si="1">IF(ISBLANK($F7),0,VLOOKUP($F7,$AG$6:$AK$16,5,FALSE))</f>
        <v>0</v>
      </c>
      <c r="AE7" s="1337">
        <f t="shared" ref="AE7:AE20" si="2">$G7*AD7</f>
        <v>0</v>
      </c>
      <c r="AG7" s="1487" t="s">
        <v>182</v>
      </c>
      <c r="AH7" s="1526">
        <f>Paramètres!BJ4</f>
        <v>700</v>
      </c>
      <c r="AI7" s="1526">
        <f>Paramètres!BK4</f>
        <v>24</v>
      </c>
      <c r="AJ7" s="1526">
        <f>Paramètres!BL4</f>
        <v>7</v>
      </c>
      <c r="AK7" s="1526">
        <f>Paramètres!BM4</f>
        <v>30</v>
      </c>
    </row>
    <row r="8" spans="1:37" x14ac:dyDescent="0.2">
      <c r="A8" s="1164"/>
      <c r="B8" s="1164"/>
      <c r="C8" s="1164"/>
      <c r="D8" s="1253"/>
      <c r="E8" s="1253"/>
      <c r="F8" s="18"/>
      <c r="G8" s="18"/>
      <c r="H8" s="1532">
        <f t="shared" si="0"/>
        <v>0</v>
      </c>
      <c r="I8" s="1532">
        <f t="shared" si="0"/>
        <v>0</v>
      </c>
      <c r="J8" s="1532">
        <f t="shared" si="0"/>
        <v>0</v>
      </c>
      <c r="K8" s="1"/>
      <c r="L8" s="1498"/>
      <c r="M8" s="1498"/>
      <c r="N8" s="1498"/>
      <c r="O8" s="1498"/>
      <c r="P8" s="1498"/>
      <c r="Q8" s="1498"/>
      <c r="R8" s="1498"/>
      <c r="S8" s="1498"/>
      <c r="T8" s="1498"/>
      <c r="U8" s="1498"/>
      <c r="V8" s="1498"/>
      <c r="W8" s="1498"/>
      <c r="X8" s="1498"/>
      <c r="Y8" s="1498"/>
      <c r="Z8" s="1498"/>
      <c r="AA8" s="1516">
        <f>IF(ISBLANK($F8),0,VLOOKUP($F8,$AG$6:$AI$16,2,FALSE))</f>
        <v>0</v>
      </c>
      <c r="AB8" s="1516">
        <f>IF(ISBLANK($F8),0,VLOOKUP($F8,$AG$6:$AI$16,3,FALSE))</f>
        <v>0</v>
      </c>
      <c r="AC8" s="1681">
        <f>IF(ISBLANK($F8),0,VLOOKUP($F8,$AG$6:$AJ$16,4,FALSE))</f>
        <v>0</v>
      </c>
      <c r="AD8" s="1952">
        <f t="shared" si="1"/>
        <v>0</v>
      </c>
      <c r="AE8" s="1337">
        <f t="shared" si="2"/>
        <v>0</v>
      </c>
      <c r="AG8" s="1487" t="s">
        <v>1167</v>
      </c>
      <c r="AH8" s="1526">
        <f>Paramètres!BJ5</f>
        <v>850</v>
      </c>
      <c r="AI8" s="1526">
        <f>Paramètres!BK5</f>
        <v>13</v>
      </c>
      <c r="AJ8" s="1526">
        <f>Paramètres!BL5</f>
        <v>5</v>
      </c>
      <c r="AK8" s="1526">
        <f>Paramètres!BM5</f>
        <v>12</v>
      </c>
    </row>
    <row r="9" spans="1:37" x14ac:dyDescent="0.2">
      <c r="A9" s="1164"/>
      <c r="B9" s="1164"/>
      <c r="C9" s="1164"/>
      <c r="D9" s="1253"/>
      <c r="E9" s="1253"/>
      <c r="F9" s="1"/>
      <c r="G9" s="1"/>
      <c r="H9" s="1531"/>
      <c r="I9" s="1531"/>
      <c r="J9" s="1531"/>
      <c r="K9" s="1"/>
      <c r="L9" s="1498"/>
      <c r="M9" s="1498"/>
      <c r="N9" s="1498"/>
      <c r="O9" s="1498"/>
      <c r="P9" s="1498"/>
      <c r="Q9" s="1498"/>
      <c r="R9" s="1498"/>
      <c r="S9" s="1498"/>
      <c r="T9" s="1498"/>
      <c r="U9" s="1498"/>
      <c r="V9" s="1498"/>
      <c r="W9" s="1498"/>
      <c r="X9" s="1498"/>
      <c r="Y9" s="1498"/>
      <c r="Z9" s="1498"/>
      <c r="AG9" s="1487" t="s">
        <v>1168</v>
      </c>
      <c r="AH9" s="1526">
        <f>Paramètres!BJ6</f>
        <v>1150</v>
      </c>
      <c r="AI9" s="1526">
        <f>Paramètres!BK6</f>
        <v>16</v>
      </c>
      <c r="AJ9" s="1526">
        <f>Paramètres!BL6</f>
        <v>3.5</v>
      </c>
      <c r="AK9" s="1526">
        <f>Paramètres!BM6</f>
        <v>14</v>
      </c>
    </row>
    <row r="10" spans="1:37" x14ac:dyDescent="0.2">
      <c r="A10" s="1164"/>
      <c r="B10" s="1164"/>
      <c r="C10" s="1164"/>
      <c r="D10" s="1524" t="s">
        <v>1353</v>
      </c>
      <c r="E10" s="1253"/>
      <c r="F10" s="18"/>
      <c r="G10" s="18"/>
      <c r="H10" s="1532">
        <f t="shared" ref="H10:J12" si="3">$G10*AA10</f>
        <v>0</v>
      </c>
      <c r="I10" s="1532">
        <f t="shared" si="3"/>
        <v>0</v>
      </c>
      <c r="J10" s="1532">
        <f t="shared" si="3"/>
        <v>0</v>
      </c>
      <c r="K10" s="1"/>
      <c r="L10" s="1498"/>
      <c r="M10" s="1498"/>
      <c r="N10" s="1498"/>
      <c r="O10" s="1498"/>
      <c r="P10" s="1498"/>
      <c r="Q10" s="1498"/>
      <c r="R10" s="1498"/>
      <c r="S10" s="1498"/>
      <c r="T10" s="1498"/>
      <c r="U10" s="1498"/>
      <c r="V10" s="1498"/>
      <c r="W10" s="1498"/>
      <c r="X10" s="1498"/>
      <c r="Y10" s="1498"/>
      <c r="Z10" s="1498"/>
      <c r="AA10" s="1533">
        <f>IF(ISBLANK($F10),0,VLOOKUP($F10,$AG$6:$AI$16,2,FALSE))</f>
        <v>0</v>
      </c>
      <c r="AB10" s="1533">
        <f>IF(ISBLANK($F10),0,VLOOKUP($F10,$AG$6:$AI$16,3,FALSE))</f>
        <v>0</v>
      </c>
      <c r="AC10" s="1681">
        <f>IF(ISBLANK($F10),0,VLOOKUP($F10,$AG$6:$AJ$16,4,FALSE))</f>
        <v>0</v>
      </c>
      <c r="AD10" s="1952">
        <f t="shared" si="1"/>
        <v>0</v>
      </c>
      <c r="AE10" s="1337">
        <f t="shared" si="2"/>
        <v>0</v>
      </c>
      <c r="AG10" s="1487" t="s">
        <v>1169</v>
      </c>
      <c r="AH10" s="1526">
        <f>Paramètres!BJ7</f>
        <v>950</v>
      </c>
      <c r="AI10" s="1526">
        <f>Paramètres!BK7</f>
        <v>15</v>
      </c>
      <c r="AJ10" s="1526">
        <f>Paramètres!BL7</f>
        <v>2.2999999999999998</v>
      </c>
      <c r="AK10" s="1526">
        <f>Paramètres!BM7</f>
        <v>6.5</v>
      </c>
    </row>
    <row r="11" spans="1:37" x14ac:dyDescent="0.2">
      <c r="A11" s="1164"/>
      <c r="B11" s="1164"/>
      <c r="C11" s="1164"/>
      <c r="D11" s="1253"/>
      <c r="E11" s="1674"/>
      <c r="F11" s="18"/>
      <c r="G11" s="18"/>
      <c r="H11" s="1532">
        <f t="shared" si="3"/>
        <v>0</v>
      </c>
      <c r="I11" s="1532">
        <f t="shared" si="3"/>
        <v>0</v>
      </c>
      <c r="J11" s="1532">
        <f t="shared" si="3"/>
        <v>0</v>
      </c>
      <c r="K11" s="1"/>
      <c r="L11" s="1498"/>
      <c r="M11" s="1498"/>
      <c r="N11" s="1498"/>
      <c r="O11" s="1498"/>
      <c r="P11" s="1498"/>
      <c r="Q11" s="1498"/>
      <c r="R11" s="1498"/>
      <c r="S11" s="1498"/>
      <c r="T11" s="1498"/>
      <c r="U11" s="1498"/>
      <c r="V11" s="1498"/>
      <c r="W11" s="1498"/>
      <c r="X11" s="1498"/>
      <c r="Y11" s="1498"/>
      <c r="Z11" s="1498"/>
      <c r="AA11" s="1533">
        <f>IF(ISBLANK($F11),0,VLOOKUP($F11,$AG$6:$AI$16,2,FALSE))</f>
        <v>0</v>
      </c>
      <c r="AB11" s="1533">
        <f>IF(ISBLANK($F11),0,VLOOKUP($F11,$AG$6:$AI$16,3,FALSE))</f>
        <v>0</v>
      </c>
      <c r="AC11" s="1681">
        <f>IF(ISBLANK($F11),0,VLOOKUP($F11,$AG$6:$AJ$16,4,FALSE))</f>
        <v>0</v>
      </c>
      <c r="AD11" s="1952">
        <f t="shared" si="1"/>
        <v>0</v>
      </c>
      <c r="AE11" s="1337">
        <f t="shared" si="2"/>
        <v>0</v>
      </c>
      <c r="AG11" s="1487" t="s">
        <v>1170</v>
      </c>
      <c r="AH11" s="1526">
        <f>Paramètres!BJ8</f>
        <v>820</v>
      </c>
      <c r="AI11" s="1526">
        <f>Paramètres!BK8</f>
        <v>38</v>
      </c>
      <c r="AJ11" s="1526">
        <f>Paramètres!BL8</f>
        <v>16</v>
      </c>
      <c r="AK11" s="1526">
        <f>Paramètres!BM8</f>
        <v>7.2</v>
      </c>
    </row>
    <row r="12" spans="1:37" x14ac:dyDescent="0.2">
      <c r="A12" s="1164"/>
      <c r="B12" s="1164"/>
      <c r="C12" s="1164"/>
      <c r="D12" s="1253"/>
      <c r="E12" s="1253"/>
      <c r="F12" s="18"/>
      <c r="G12" s="18"/>
      <c r="H12" s="1532">
        <f t="shared" si="3"/>
        <v>0</v>
      </c>
      <c r="I12" s="1532">
        <f t="shared" si="3"/>
        <v>0</v>
      </c>
      <c r="J12" s="1532">
        <f t="shared" si="3"/>
        <v>0</v>
      </c>
      <c r="K12" s="1"/>
      <c r="L12" s="1498"/>
      <c r="M12" s="1498"/>
      <c r="N12" s="1498"/>
      <c r="O12" s="1498"/>
      <c r="P12" s="1498"/>
      <c r="Q12" s="1498"/>
      <c r="R12" s="1498"/>
      <c r="S12" s="1498"/>
      <c r="T12" s="1498"/>
      <c r="U12" s="1498"/>
      <c r="V12" s="1498"/>
      <c r="W12" s="1498"/>
      <c r="X12" s="1498"/>
      <c r="Y12" s="1498"/>
      <c r="Z12" s="1498"/>
      <c r="AA12" s="1533">
        <f>IF(ISBLANK($F12),0,VLOOKUP($F12,$AG$6:$AI$16,2,FALSE))</f>
        <v>0</v>
      </c>
      <c r="AB12" s="1533">
        <f>IF(ISBLANK($F12),0,VLOOKUP($F12,$AG$6:$AI$16,3,FALSE))</f>
        <v>0</v>
      </c>
      <c r="AC12" s="1681">
        <f>IF(ISBLANK($F12),0,VLOOKUP($F12,$AG$6:$AJ$16,4,FALSE))</f>
        <v>0</v>
      </c>
      <c r="AD12" s="1952">
        <f t="shared" si="1"/>
        <v>0</v>
      </c>
      <c r="AE12" s="1337">
        <f t="shared" si="2"/>
        <v>0</v>
      </c>
      <c r="AG12" s="1487" t="s">
        <v>1175</v>
      </c>
      <c r="AH12" s="1526">
        <f>Paramètres!BJ9</f>
        <v>700</v>
      </c>
      <c r="AI12" s="1526">
        <f>Paramètres!BK9</f>
        <v>30</v>
      </c>
      <c r="AJ12" s="1526">
        <f>Paramètres!BL9</f>
        <v>6</v>
      </c>
      <c r="AK12" s="1526">
        <f>Paramètres!BM9</f>
        <v>30</v>
      </c>
    </row>
    <row r="13" spans="1:37" x14ac:dyDescent="0.2">
      <c r="A13" s="1164"/>
      <c r="B13" s="1164"/>
      <c r="C13" s="1164"/>
      <c r="D13" s="1253"/>
      <c r="E13" s="1253"/>
      <c r="F13" s="1"/>
      <c r="G13" s="1"/>
      <c r="H13" s="1531"/>
      <c r="I13" s="1531"/>
      <c r="J13" s="1531"/>
      <c r="K13" s="1"/>
      <c r="L13" s="1498"/>
      <c r="M13" s="1498"/>
      <c r="N13" s="1498"/>
      <c r="O13" s="1498"/>
      <c r="P13" s="1498"/>
      <c r="Q13" s="1498"/>
      <c r="R13" s="1498"/>
      <c r="S13" s="1498"/>
      <c r="T13" s="1498"/>
      <c r="U13" s="1498"/>
      <c r="V13" s="1498"/>
      <c r="W13" s="1498"/>
      <c r="X13" s="1498"/>
      <c r="Y13" s="1498"/>
      <c r="Z13" s="1498"/>
      <c r="AG13" s="1487" t="s">
        <v>1174</v>
      </c>
      <c r="AH13" s="1526">
        <f>Paramètres!BJ10</f>
        <v>900</v>
      </c>
      <c r="AI13" s="1526">
        <f>Paramètres!BK10</f>
        <v>12</v>
      </c>
      <c r="AJ13" s="1526">
        <f>Paramètres!BL10</f>
        <v>5</v>
      </c>
      <c r="AK13" s="1526">
        <f>Paramètres!BM10</f>
        <v>11</v>
      </c>
    </row>
    <row r="14" spans="1:37" x14ac:dyDescent="0.2">
      <c r="A14" s="1164"/>
      <c r="B14" s="1164"/>
      <c r="C14" s="1164"/>
      <c r="D14" s="1524" t="s">
        <v>1356</v>
      </c>
      <c r="E14" s="1253"/>
      <c r="F14" s="18"/>
      <c r="G14" s="18"/>
      <c r="H14" s="1532">
        <f t="shared" ref="H14:J16" si="4">$G14*AA14</f>
        <v>0</v>
      </c>
      <c r="I14" s="1532">
        <f t="shared" si="4"/>
        <v>0</v>
      </c>
      <c r="J14" s="1532">
        <f t="shared" si="4"/>
        <v>0</v>
      </c>
      <c r="K14" s="1"/>
      <c r="L14" s="1498"/>
      <c r="M14" s="1498"/>
      <c r="N14" s="1498"/>
      <c r="O14" s="1498"/>
      <c r="P14" s="1498"/>
      <c r="Q14" s="1498"/>
      <c r="R14" s="1498"/>
      <c r="S14" s="1498"/>
      <c r="T14" s="1498"/>
      <c r="U14" s="1498"/>
      <c r="V14" s="1498"/>
      <c r="W14" s="1498"/>
      <c r="X14" s="1498"/>
      <c r="Y14" s="1498"/>
      <c r="Z14" s="1498"/>
      <c r="AA14" s="1552">
        <f>IF(ISBLANK($F14),0,VLOOKUP($F14,$AG$6:$AI$16,2,FALSE))</f>
        <v>0</v>
      </c>
      <c r="AB14" s="1552">
        <f>IF(ISBLANK($F14),0,VLOOKUP($F14,$AG$6:$AI$16,3,FALSE))</f>
        <v>0</v>
      </c>
      <c r="AC14" s="1681">
        <f>IF(ISBLANK($F14),0,VLOOKUP($F14,$AG$6:$AJ$16,4,FALSE))</f>
        <v>0</v>
      </c>
      <c r="AD14" s="1952">
        <f t="shared" si="1"/>
        <v>0</v>
      </c>
      <c r="AE14" s="1337">
        <f t="shared" si="2"/>
        <v>0</v>
      </c>
      <c r="AG14" s="1487" t="s">
        <v>1171</v>
      </c>
      <c r="AH14" s="1526">
        <f>Paramètres!BJ11</f>
        <v>800</v>
      </c>
      <c r="AI14" s="1526">
        <f>Paramètres!BK11</f>
        <v>26</v>
      </c>
      <c r="AJ14" s="1526">
        <f>Paramètres!BL11</f>
        <v>6.8</v>
      </c>
      <c r="AK14" s="1526">
        <f>Paramètres!BM11</f>
        <v>25</v>
      </c>
    </row>
    <row r="15" spans="1:37" x14ac:dyDescent="0.2">
      <c r="A15" s="1164"/>
      <c r="B15" s="1164"/>
      <c r="C15" s="1164"/>
      <c r="D15" s="1253"/>
      <c r="E15" s="1674"/>
      <c r="F15" s="18"/>
      <c r="G15" s="18"/>
      <c r="H15" s="1532">
        <f t="shared" si="4"/>
        <v>0</v>
      </c>
      <c r="I15" s="1532">
        <f t="shared" si="4"/>
        <v>0</v>
      </c>
      <c r="J15" s="1532">
        <f t="shared" si="4"/>
        <v>0</v>
      </c>
      <c r="K15" s="1"/>
      <c r="L15" s="1498"/>
      <c r="M15" s="1498"/>
      <c r="N15" s="1498"/>
      <c r="O15" s="1498"/>
      <c r="P15" s="1498"/>
      <c r="Q15" s="1498"/>
      <c r="R15" s="1498"/>
      <c r="S15" s="1498"/>
      <c r="T15" s="1498"/>
      <c r="U15" s="1498"/>
      <c r="V15" s="1498"/>
      <c r="W15" s="1498"/>
      <c r="X15" s="1498"/>
      <c r="Y15" s="1498"/>
      <c r="Z15" s="1498"/>
      <c r="AA15" s="1552">
        <f>IF(ISBLANK($F15),0,VLOOKUP($F15,$AG$6:$AI$16,2,FALSE))</f>
        <v>0</v>
      </c>
      <c r="AB15" s="1552">
        <f>IF(ISBLANK($F15),0,VLOOKUP($F15,$AG$6:$AI$16,3,FALSE))</f>
        <v>0</v>
      </c>
      <c r="AC15" s="1681">
        <f>IF(ISBLANK($F15),0,VLOOKUP($F15,$AG$6:$AJ$16,4,FALSE))</f>
        <v>0</v>
      </c>
      <c r="AD15" s="1952">
        <f t="shared" si="1"/>
        <v>0</v>
      </c>
      <c r="AE15" s="1337">
        <f t="shared" si="2"/>
        <v>0</v>
      </c>
      <c r="AG15" s="1487" t="s">
        <v>1204</v>
      </c>
      <c r="AH15" s="1526">
        <f>Paramètres!BJ12</f>
        <v>420</v>
      </c>
      <c r="AI15" s="1526">
        <f>Paramètres!BK12</f>
        <v>5.6</v>
      </c>
      <c r="AJ15" s="1526">
        <f>Paramètres!BL12</f>
        <v>2.2999999999999998</v>
      </c>
      <c r="AK15" s="1526">
        <f>Paramètres!BM12</f>
        <v>13</v>
      </c>
    </row>
    <row r="16" spans="1:37" x14ac:dyDescent="0.2">
      <c r="A16" s="1164"/>
      <c r="B16" s="1164"/>
      <c r="C16" s="1164"/>
      <c r="D16" s="1253"/>
      <c r="E16" s="1253"/>
      <c r="F16" s="18"/>
      <c r="G16" s="18"/>
      <c r="H16" s="1532">
        <f t="shared" si="4"/>
        <v>0</v>
      </c>
      <c r="I16" s="1532">
        <f t="shared" si="4"/>
        <v>0</v>
      </c>
      <c r="J16" s="1532">
        <f t="shared" si="4"/>
        <v>0</v>
      </c>
      <c r="K16" s="1"/>
      <c r="L16" s="1498"/>
      <c r="M16" s="1498"/>
      <c r="N16" s="1498"/>
      <c r="O16" s="1498"/>
      <c r="P16" s="1498"/>
      <c r="Q16" s="1498"/>
      <c r="R16" s="1498"/>
      <c r="S16" s="1498"/>
      <c r="T16" s="1498"/>
      <c r="U16" s="1498"/>
      <c r="V16" s="1498"/>
      <c r="W16" s="1498"/>
      <c r="X16" s="1498"/>
      <c r="Y16" s="1498"/>
      <c r="Z16" s="1498"/>
      <c r="AA16" s="1552">
        <f>IF(ISBLANK($F16),0,VLOOKUP($F16,$AG$6:$AI$16,2,FALSE))</f>
        <v>0</v>
      </c>
      <c r="AB16" s="1552">
        <f>IF(ISBLANK($F16),0,VLOOKUP($F16,$AG$6:$AI$16,3,FALSE))</f>
        <v>0</v>
      </c>
      <c r="AC16" s="1681">
        <f>IF(ISBLANK($F16),0,VLOOKUP($F16,$AG$6:$AJ$16,4,FALSE))</f>
        <v>0</v>
      </c>
      <c r="AD16" s="1952">
        <f t="shared" si="1"/>
        <v>0</v>
      </c>
      <c r="AE16" s="1337">
        <f t="shared" si="2"/>
        <v>0</v>
      </c>
      <c r="AG16" s="1487" t="s">
        <v>1177</v>
      </c>
      <c r="AH16" s="1526">
        <f>Paramètres!BJ13</f>
        <v>580</v>
      </c>
      <c r="AI16" s="1526">
        <f>Paramètres!BK13</f>
        <v>16</v>
      </c>
      <c r="AJ16" s="1526">
        <f>Paramètres!BL13</f>
        <v>2.2999999999999998</v>
      </c>
      <c r="AK16" s="1526">
        <f>Paramètres!BM13</f>
        <v>13</v>
      </c>
    </row>
    <row r="17" spans="1:31" x14ac:dyDescent="0.2">
      <c r="A17" s="1164"/>
      <c r="B17" s="1164"/>
      <c r="C17" s="1164"/>
      <c r="D17" s="1253"/>
      <c r="E17" s="1253"/>
      <c r="F17" s="1"/>
      <c r="G17" s="1"/>
      <c r="H17" s="1531"/>
      <c r="I17" s="1531"/>
      <c r="J17" s="1531"/>
      <c r="K17" s="1"/>
      <c r="L17" s="1498"/>
      <c r="M17" s="1498"/>
      <c r="N17" s="1498"/>
      <c r="O17" s="1498"/>
      <c r="P17" s="1498"/>
      <c r="Q17" s="1498"/>
      <c r="R17" s="1498"/>
      <c r="S17" s="1498"/>
      <c r="T17" s="1498"/>
      <c r="U17" s="1498"/>
      <c r="V17" s="1498"/>
      <c r="W17" s="1498"/>
      <c r="X17" s="1498"/>
      <c r="Y17" s="1498"/>
      <c r="Z17" s="1498"/>
    </row>
    <row r="18" spans="1:31" x14ac:dyDescent="0.2">
      <c r="A18" s="1164"/>
      <c r="B18" s="1164"/>
      <c r="C18" s="1164"/>
      <c r="D18" s="1524" t="s">
        <v>1270</v>
      </c>
      <c r="E18" s="1253"/>
      <c r="F18" s="18"/>
      <c r="G18" s="18"/>
      <c r="H18" s="1532">
        <f t="shared" ref="H18:J20" si="5">$G18*AA18</f>
        <v>0</v>
      </c>
      <c r="I18" s="1532">
        <f t="shared" si="5"/>
        <v>0</v>
      </c>
      <c r="J18" s="1532">
        <f t="shared" si="5"/>
        <v>0</v>
      </c>
      <c r="K18" s="1"/>
      <c r="L18" s="1498"/>
      <c r="M18" s="1498"/>
      <c r="N18" s="1498"/>
      <c r="O18" s="1498"/>
      <c r="P18" s="1498"/>
      <c r="Q18" s="1498"/>
      <c r="R18" s="1498"/>
      <c r="S18" s="1498"/>
      <c r="T18" s="1498"/>
      <c r="U18" s="1498"/>
      <c r="V18" s="1498"/>
      <c r="W18" s="1498"/>
      <c r="X18" s="1498"/>
      <c r="Y18" s="1498"/>
      <c r="Z18" s="1498"/>
      <c r="AA18" s="1552">
        <f>IF(ISBLANK($F18),0,VLOOKUP($F18,$AG$6:$AI$16,2,FALSE))</f>
        <v>0</v>
      </c>
      <c r="AB18" s="1552">
        <f>IF(ISBLANK($F18),0,VLOOKUP($F18,$AG$6:$AI$16,3,FALSE))</f>
        <v>0</v>
      </c>
      <c r="AC18" s="1681">
        <f>IF(ISBLANK($F18),0,VLOOKUP($F18,$AG$6:$AJ$16,4,FALSE))</f>
        <v>0</v>
      </c>
      <c r="AD18" s="1952">
        <f t="shared" si="1"/>
        <v>0</v>
      </c>
      <c r="AE18" s="1337">
        <f t="shared" si="2"/>
        <v>0</v>
      </c>
    </row>
    <row r="19" spans="1:31" x14ac:dyDescent="0.2">
      <c r="A19" s="1164"/>
      <c r="B19" s="1164"/>
      <c r="C19" s="1164"/>
      <c r="D19" s="1524" t="s">
        <v>1271</v>
      </c>
      <c r="E19" s="1674"/>
      <c r="F19" s="18"/>
      <c r="G19" s="18"/>
      <c r="H19" s="1532">
        <f t="shared" si="5"/>
        <v>0</v>
      </c>
      <c r="I19" s="1532">
        <f t="shared" si="5"/>
        <v>0</v>
      </c>
      <c r="J19" s="1532">
        <f t="shared" si="5"/>
        <v>0</v>
      </c>
      <c r="K19" s="1"/>
      <c r="L19" s="1498"/>
      <c r="M19" s="1498"/>
      <c r="N19" s="1498"/>
      <c r="O19" s="1498"/>
      <c r="P19" s="1498"/>
      <c r="Q19" s="1498"/>
      <c r="R19" s="1498"/>
      <c r="S19" s="1498"/>
      <c r="T19" s="1498"/>
      <c r="U19" s="1498"/>
      <c r="V19" s="1498"/>
      <c r="W19" s="1498"/>
      <c r="X19" s="1498"/>
      <c r="Y19" s="1498"/>
      <c r="Z19" s="1498"/>
      <c r="AA19" s="1552">
        <f>IF(ISBLANK($F19),0,VLOOKUP($F19,$AG$6:$AI$16,2,FALSE))</f>
        <v>0</v>
      </c>
      <c r="AB19" s="1552">
        <f>IF(ISBLANK($F19),0,VLOOKUP($F19,$AG$6:$AI$16,3,FALSE))</f>
        <v>0</v>
      </c>
      <c r="AC19" s="1681">
        <f>IF(ISBLANK($F19),0,VLOOKUP($F19,$AG$6:$AJ$16,4,FALSE))</f>
        <v>0</v>
      </c>
      <c r="AD19" s="1952">
        <f t="shared" si="1"/>
        <v>0</v>
      </c>
      <c r="AE19" s="1337">
        <f t="shared" si="2"/>
        <v>0</v>
      </c>
    </row>
    <row r="20" spans="1:31" x14ac:dyDescent="0.2">
      <c r="A20" s="1164"/>
      <c r="B20" s="1164"/>
      <c r="C20" s="1164"/>
      <c r="D20" s="1253"/>
      <c r="E20" s="1253"/>
      <c r="F20" s="18"/>
      <c r="G20" s="18"/>
      <c r="H20" s="1532">
        <f t="shared" si="5"/>
        <v>0</v>
      </c>
      <c r="I20" s="1532">
        <f t="shared" si="5"/>
        <v>0</v>
      </c>
      <c r="J20" s="1532">
        <f t="shared" si="5"/>
        <v>0</v>
      </c>
      <c r="K20" s="1"/>
      <c r="L20" s="1498"/>
      <c r="M20" s="1806"/>
      <c r="N20" s="1806"/>
      <c r="O20" s="1498"/>
      <c r="P20" s="1498"/>
      <c r="Q20" s="1498"/>
      <c r="R20" s="1498"/>
      <c r="S20" s="1498"/>
      <c r="T20" s="1498"/>
      <c r="U20" s="1498"/>
      <c r="V20" s="1498"/>
      <c r="W20" s="1498"/>
      <c r="X20" s="1498"/>
      <c r="Y20" s="1498"/>
      <c r="Z20" s="1498"/>
      <c r="AA20" s="1552">
        <f>IF(ISBLANK($F20),0,VLOOKUP($F20,$AG$6:$AI$16,2,FALSE))</f>
        <v>0</v>
      </c>
      <c r="AB20" s="1552">
        <f>IF(ISBLANK($F20),0,VLOOKUP($F20,$AG$6:$AI$16,3,FALSE))</f>
        <v>0</v>
      </c>
      <c r="AC20" s="1681">
        <f>IF(ISBLANK($F20),0,VLOOKUP($F20,$AG$6:$AJ$16,4,FALSE))</f>
        <v>0</v>
      </c>
      <c r="AD20" s="1952">
        <f>IF(ISBLANK($F20),0,VLOOKUP($F20,$AG$6:$AK$16,5,FALSE))</f>
        <v>0</v>
      </c>
      <c r="AE20" s="1337">
        <f t="shared" si="2"/>
        <v>0</v>
      </c>
    </row>
    <row r="21" spans="1:31" x14ac:dyDescent="0.2">
      <c r="A21" s="1164"/>
      <c r="B21" s="1164"/>
      <c r="C21" s="1164"/>
      <c r="D21" s="1253"/>
      <c r="E21" s="1253"/>
      <c r="F21" s="1"/>
      <c r="G21" s="1"/>
      <c r="H21" s="1531"/>
      <c r="I21" s="1531"/>
      <c r="J21" s="1531"/>
      <c r="K21" s="1"/>
      <c r="L21" s="1498"/>
      <c r="M21" s="1498"/>
      <c r="N21" s="1498"/>
      <c r="O21" s="1498"/>
      <c r="P21" s="1498"/>
      <c r="Q21" s="1498"/>
      <c r="R21" s="1498"/>
      <c r="S21" s="1498"/>
      <c r="T21" s="1498"/>
      <c r="U21" s="1498"/>
      <c r="V21" s="1498"/>
      <c r="W21" s="1498"/>
      <c r="X21" s="1498"/>
      <c r="Y21" s="1498"/>
      <c r="Z21" s="1498"/>
    </row>
    <row r="22" spans="1:31" ht="15" x14ac:dyDescent="0.2">
      <c r="A22" s="1164"/>
      <c r="B22" s="1164"/>
      <c r="C22" s="1164"/>
      <c r="D22" s="1675" t="s">
        <v>1228</v>
      </c>
      <c r="E22" s="1253"/>
      <c r="F22" s="1478" t="s">
        <v>1162</v>
      </c>
      <c r="G22" s="1478" t="s">
        <v>1669</v>
      </c>
      <c r="H22" s="1478" t="s">
        <v>219</v>
      </c>
      <c r="I22" s="1478" t="s">
        <v>625</v>
      </c>
      <c r="J22" s="1478" t="s">
        <v>187</v>
      </c>
      <c r="K22" s="1164"/>
      <c r="L22" s="1498"/>
      <c r="M22" s="1498"/>
      <c r="N22" s="1498"/>
      <c r="O22" s="1498"/>
      <c r="P22" s="1498"/>
      <c r="Q22" s="1498"/>
      <c r="R22" s="1498"/>
      <c r="S22" s="1498"/>
      <c r="T22" s="1498"/>
      <c r="U22" s="1498"/>
      <c r="V22" s="1498"/>
      <c r="W22" s="1498"/>
      <c r="X22" s="1498"/>
      <c r="Y22" s="1498"/>
      <c r="Z22" s="1498"/>
    </row>
    <row r="23" spans="1:31" ht="15" x14ac:dyDescent="0.25">
      <c r="A23" s="1164"/>
      <c r="B23" s="1164"/>
      <c r="C23" s="1164"/>
      <c r="D23" s="1284" t="s">
        <v>416</v>
      </c>
      <c r="E23" s="1253"/>
      <c r="F23" s="1478"/>
      <c r="G23" s="1478" t="s">
        <v>1668</v>
      </c>
      <c r="H23" s="1478"/>
      <c r="I23" s="1478"/>
      <c r="J23" s="1478"/>
      <c r="K23" s="1164"/>
      <c r="L23" s="1498"/>
      <c r="M23" s="1498"/>
      <c r="N23" s="1498"/>
      <c r="O23" s="1498"/>
      <c r="P23" s="1498"/>
      <c r="Q23" s="1498"/>
      <c r="R23" s="1498"/>
      <c r="S23" s="1498"/>
      <c r="T23" s="1498"/>
      <c r="U23" s="1498"/>
      <c r="V23" s="1498"/>
      <c r="W23" s="1498"/>
      <c r="X23" s="1498"/>
      <c r="Y23" s="1498"/>
      <c r="Z23" s="1498"/>
      <c r="AA23" s="1529" t="s">
        <v>219</v>
      </c>
      <c r="AB23" s="1529" t="s">
        <v>625</v>
      </c>
      <c r="AC23" s="1529" t="s">
        <v>187</v>
      </c>
      <c r="AD23" s="1951" t="s">
        <v>665</v>
      </c>
      <c r="AE23" s="1960" t="s">
        <v>665</v>
      </c>
    </row>
    <row r="24" spans="1:31" x14ac:dyDescent="0.2">
      <c r="A24" s="1164"/>
      <c r="B24" s="1164"/>
      <c r="C24" s="1164"/>
      <c r="D24" s="1524" t="s">
        <v>1165</v>
      </c>
      <c r="E24" s="1253"/>
      <c r="F24" s="18" t="s">
        <v>1204</v>
      </c>
      <c r="G24" s="18">
        <v>15</v>
      </c>
      <c r="H24" s="1532">
        <f t="shared" ref="H24:J26" si="6">$G24*AA24</f>
        <v>6300</v>
      </c>
      <c r="I24" s="1532">
        <f t="shared" si="6"/>
        <v>84</v>
      </c>
      <c r="J24" s="1532">
        <f t="shared" si="6"/>
        <v>34.5</v>
      </c>
      <c r="K24" s="1164"/>
      <c r="L24" s="1498"/>
      <c r="M24" s="1498"/>
      <c r="N24" s="1498"/>
      <c r="O24" s="1498"/>
      <c r="P24" s="1498"/>
      <c r="Q24" s="1498"/>
      <c r="R24" s="1498"/>
      <c r="S24" s="1498"/>
      <c r="T24" s="1498"/>
      <c r="U24" s="1498"/>
      <c r="V24" s="1498"/>
      <c r="W24" s="1498"/>
      <c r="X24" s="1498"/>
      <c r="Y24" s="1498"/>
      <c r="Z24" s="1498"/>
      <c r="AA24" s="1664">
        <f>IF(ISBLANK($F24),0,VLOOKUP($F24,$AG$6:$AI$16,2,FALSE))</f>
        <v>420</v>
      </c>
      <c r="AB24" s="1664">
        <f>IF(ISBLANK($F24),0,VLOOKUP($F24,$AG$6:$AI$16,3,FALSE))</f>
        <v>5.6</v>
      </c>
      <c r="AC24" s="1681">
        <f>IF(ISBLANK($F24),0,VLOOKUP($F24,$AG$6:$AJ$16,4,FALSE))</f>
        <v>2.2999999999999998</v>
      </c>
      <c r="AD24" s="1952">
        <f>IF(ISBLANK($F24),0,VLOOKUP($F24,$AG$6:$AK$16,5,FALSE))</f>
        <v>13</v>
      </c>
      <c r="AE24" s="1337">
        <f>$G24*AD24</f>
        <v>195</v>
      </c>
    </row>
    <row r="25" spans="1:31" x14ac:dyDescent="0.2">
      <c r="A25" s="1164"/>
      <c r="B25" s="1164"/>
      <c r="C25" s="1164"/>
      <c r="D25" s="1253"/>
      <c r="E25" s="1674"/>
      <c r="F25" s="18"/>
      <c r="G25" s="18"/>
      <c r="H25" s="1532">
        <f t="shared" si="6"/>
        <v>0</v>
      </c>
      <c r="I25" s="1532">
        <f t="shared" si="6"/>
        <v>0</v>
      </c>
      <c r="J25" s="1532">
        <f t="shared" si="6"/>
        <v>0</v>
      </c>
      <c r="K25" s="1164"/>
      <c r="L25" s="1498"/>
      <c r="M25" s="1498"/>
      <c r="N25" s="1498"/>
      <c r="O25" s="1498"/>
      <c r="P25" s="1498"/>
      <c r="Q25" s="1498"/>
      <c r="R25" s="1498"/>
      <c r="S25" s="1498"/>
      <c r="T25" s="1498"/>
      <c r="U25" s="1498"/>
      <c r="V25" s="1498"/>
      <c r="W25" s="1498"/>
      <c r="X25" s="1498"/>
      <c r="Y25" s="1498"/>
      <c r="Z25" s="1498"/>
      <c r="AA25" s="1664">
        <f>IF(ISBLANK($F25),0,VLOOKUP($F25,$AG$6:$AI$16,2,FALSE))</f>
        <v>0</v>
      </c>
      <c r="AB25" s="1664">
        <f>IF(ISBLANK($F25),0,VLOOKUP($F25,$AG$6:$AI$16,3,FALSE))</f>
        <v>0</v>
      </c>
      <c r="AC25" s="1681">
        <f>IF(ISBLANK($F25),0,VLOOKUP($F25,$AG$6:$AJ$16,4,FALSE))</f>
        <v>0</v>
      </c>
      <c r="AD25" s="1952">
        <f t="shared" ref="AD25:AD41" si="7">IF(ISBLANK($F25),0,VLOOKUP($F25,$AG$6:$AK$16,5,FALSE))</f>
        <v>0</v>
      </c>
      <c r="AE25" s="1337">
        <f t="shared" ref="AE25:AE42" si="8">$G25*AD25</f>
        <v>0</v>
      </c>
    </row>
    <row r="26" spans="1:31" x14ac:dyDescent="0.2">
      <c r="A26" s="1164"/>
      <c r="B26" s="1164"/>
      <c r="C26" s="1164"/>
      <c r="D26" s="1253"/>
      <c r="E26" s="1253"/>
      <c r="F26" s="18"/>
      <c r="G26" s="18"/>
      <c r="H26" s="1532">
        <f t="shared" si="6"/>
        <v>0</v>
      </c>
      <c r="I26" s="1532">
        <f t="shared" si="6"/>
        <v>0</v>
      </c>
      <c r="J26" s="1532">
        <f t="shared" si="6"/>
        <v>0</v>
      </c>
      <c r="K26" s="1164"/>
      <c r="L26" s="1498"/>
      <c r="M26" s="1498"/>
      <c r="N26" s="1498"/>
      <c r="O26" s="1498"/>
      <c r="P26" s="1498"/>
      <c r="Q26" s="1498"/>
      <c r="R26" s="1498"/>
      <c r="S26" s="1498"/>
      <c r="T26" s="1498"/>
      <c r="U26" s="1498"/>
      <c r="V26" s="1498"/>
      <c r="W26" s="1498"/>
      <c r="X26" s="1498"/>
      <c r="Y26" s="1498"/>
      <c r="Z26" s="1498"/>
      <c r="AA26" s="1664">
        <f>IF(ISBLANK($F26),0,VLOOKUP($F26,$AG$6:$AI$16,2,FALSE))</f>
        <v>0</v>
      </c>
      <c r="AB26" s="1664">
        <f>IF(ISBLANK($F26),0,VLOOKUP($F26,$AG$6:$AI$16,3,FALSE))</f>
        <v>0</v>
      </c>
      <c r="AC26" s="1681">
        <f>IF(ISBLANK($F26),0,VLOOKUP($F26,$AG$6:$AJ$16,4,FALSE))</f>
        <v>0</v>
      </c>
      <c r="AD26" s="1952">
        <f t="shared" si="7"/>
        <v>0</v>
      </c>
      <c r="AE26" s="1337">
        <f t="shared" si="8"/>
        <v>0</v>
      </c>
    </row>
    <row r="27" spans="1:31" x14ac:dyDescent="0.2">
      <c r="A27" s="1164"/>
      <c r="B27" s="1164"/>
      <c r="C27" s="1164"/>
      <c r="D27" s="1253"/>
      <c r="E27" s="1253"/>
      <c r="F27" s="1"/>
      <c r="G27" s="1"/>
      <c r="H27" s="1531"/>
      <c r="I27" s="1531"/>
      <c r="J27" s="1531"/>
      <c r="K27" s="1164"/>
      <c r="L27" s="1498"/>
      <c r="M27" s="1498"/>
      <c r="N27" s="1498"/>
      <c r="O27" s="1498"/>
      <c r="P27" s="1498"/>
      <c r="Q27" s="1498"/>
      <c r="R27" s="1498"/>
      <c r="S27" s="1498"/>
      <c r="T27" s="1498"/>
      <c r="U27" s="1498"/>
      <c r="V27" s="1498"/>
      <c r="W27" s="1498"/>
      <c r="X27" s="1498"/>
      <c r="Y27" s="1498"/>
      <c r="Z27" s="1498"/>
    </row>
    <row r="28" spans="1:31" x14ac:dyDescent="0.2">
      <c r="A28" s="1164"/>
      <c r="B28" s="1164"/>
      <c r="C28" s="1164"/>
      <c r="D28" s="1524" t="s">
        <v>1353</v>
      </c>
      <c r="E28" s="1253"/>
      <c r="F28" s="18"/>
      <c r="G28" s="18"/>
      <c r="H28" s="1532">
        <f t="shared" ref="H28:J30" si="9">$G28*AA28</f>
        <v>0</v>
      </c>
      <c r="I28" s="1532">
        <f t="shared" si="9"/>
        <v>0</v>
      </c>
      <c r="J28" s="1532">
        <f t="shared" si="9"/>
        <v>0</v>
      </c>
      <c r="K28" s="1164"/>
      <c r="L28" s="1498"/>
      <c r="M28" s="1498"/>
      <c r="N28" s="1498"/>
      <c r="O28" s="1498"/>
      <c r="P28" s="1498"/>
      <c r="Q28" s="1498"/>
      <c r="R28" s="1498"/>
      <c r="S28" s="1498"/>
      <c r="T28" s="1498"/>
      <c r="U28" s="1498"/>
      <c r="V28" s="1498"/>
      <c r="W28" s="1498"/>
      <c r="X28" s="1498"/>
      <c r="Y28" s="1498"/>
      <c r="Z28" s="1498"/>
      <c r="AA28" s="1664">
        <f>IF(ISBLANK($F28),0,VLOOKUP($F28,$AG$6:$AI$16,2,FALSE))</f>
        <v>0</v>
      </c>
      <c r="AB28" s="1664">
        <f>IF(ISBLANK($F28),0,VLOOKUP($F28,$AG$6:$AI$16,3,FALSE))</f>
        <v>0</v>
      </c>
      <c r="AC28" s="1681">
        <f>IF(ISBLANK($F28),0,VLOOKUP($F28,$AG$6:$AJ$16,4,FALSE))</f>
        <v>0</v>
      </c>
      <c r="AD28" s="1952">
        <f t="shared" si="7"/>
        <v>0</v>
      </c>
      <c r="AE28" s="1337">
        <f t="shared" si="8"/>
        <v>0</v>
      </c>
    </row>
    <row r="29" spans="1:31" x14ac:dyDescent="0.2">
      <c r="A29" s="1164"/>
      <c r="B29" s="1164"/>
      <c r="C29" s="1164"/>
      <c r="D29" s="1253"/>
      <c r="E29" s="1674"/>
      <c r="F29" s="18"/>
      <c r="G29" s="18"/>
      <c r="H29" s="1532">
        <f t="shared" si="9"/>
        <v>0</v>
      </c>
      <c r="I29" s="1532">
        <f t="shared" si="9"/>
        <v>0</v>
      </c>
      <c r="J29" s="1532">
        <f t="shared" si="9"/>
        <v>0</v>
      </c>
      <c r="K29" s="1164"/>
      <c r="L29" s="1498"/>
      <c r="M29" s="1498"/>
      <c r="N29" s="1498"/>
      <c r="O29" s="1498"/>
      <c r="P29" s="1498"/>
      <c r="Q29" s="1498"/>
      <c r="R29" s="1498"/>
      <c r="S29" s="1498"/>
      <c r="T29" s="1498"/>
      <c r="U29" s="1498"/>
      <c r="V29" s="1498"/>
      <c r="W29" s="1498"/>
      <c r="X29" s="1498"/>
      <c r="Y29" s="1498"/>
      <c r="Z29" s="1498"/>
      <c r="AA29" s="1664">
        <f>IF(ISBLANK($F29),0,VLOOKUP($F29,$AG$6:$AI$16,2,FALSE))</f>
        <v>0</v>
      </c>
      <c r="AB29" s="1664">
        <f>IF(ISBLANK($F29),0,VLOOKUP($F29,$AG$6:$AI$16,3,FALSE))</f>
        <v>0</v>
      </c>
      <c r="AC29" s="1681">
        <f>IF(ISBLANK($F29),0,VLOOKUP($F29,$AG$6:$AJ$16,4,FALSE))</f>
        <v>0</v>
      </c>
      <c r="AD29" s="1952">
        <f t="shared" si="7"/>
        <v>0</v>
      </c>
      <c r="AE29" s="1337">
        <f t="shared" si="8"/>
        <v>0</v>
      </c>
    </row>
    <row r="30" spans="1:31" x14ac:dyDescent="0.2">
      <c r="A30" s="1164"/>
      <c r="B30" s="1164"/>
      <c r="C30" s="1164"/>
      <c r="D30" s="1253"/>
      <c r="E30" s="1253"/>
      <c r="F30" s="18"/>
      <c r="G30" s="18"/>
      <c r="H30" s="1532">
        <f t="shared" si="9"/>
        <v>0</v>
      </c>
      <c r="I30" s="1532">
        <f t="shared" si="9"/>
        <v>0</v>
      </c>
      <c r="J30" s="1532">
        <f t="shared" si="9"/>
        <v>0</v>
      </c>
      <c r="K30" s="1164"/>
      <c r="L30" s="1498"/>
      <c r="M30" s="1498"/>
      <c r="N30" s="1498"/>
      <c r="O30" s="1498"/>
      <c r="P30" s="1498"/>
      <c r="Q30" s="1498"/>
      <c r="R30" s="1498"/>
      <c r="S30" s="1498"/>
      <c r="T30" s="1498"/>
      <c r="U30" s="1498"/>
      <c r="V30" s="1498"/>
      <c r="W30" s="1498"/>
      <c r="X30" s="1498"/>
      <c r="Y30" s="1498"/>
      <c r="Z30" s="1498"/>
      <c r="AA30" s="1664">
        <f>IF(ISBLANK($F30),0,VLOOKUP($F30,$AG$6:$AI$16,2,FALSE))</f>
        <v>0</v>
      </c>
      <c r="AB30" s="1664">
        <f>IF(ISBLANK($F30),0,VLOOKUP($F30,$AG$6:$AI$16,3,FALSE))</f>
        <v>0</v>
      </c>
      <c r="AC30" s="1681">
        <f>IF(ISBLANK($F30),0,VLOOKUP($F30,$AG$6:$AJ$16,4,FALSE))</f>
        <v>0</v>
      </c>
      <c r="AD30" s="1952">
        <f t="shared" si="7"/>
        <v>0</v>
      </c>
      <c r="AE30" s="1337">
        <f t="shared" si="8"/>
        <v>0</v>
      </c>
    </row>
    <row r="31" spans="1:31" x14ac:dyDescent="0.2">
      <c r="A31" s="1164"/>
      <c r="B31" s="1164"/>
      <c r="C31" s="1164"/>
      <c r="D31" s="1253"/>
      <c r="E31" s="1253"/>
      <c r="F31" s="1"/>
      <c r="G31" s="1"/>
      <c r="H31" s="1531"/>
      <c r="I31" s="1531"/>
      <c r="J31" s="1531"/>
      <c r="K31" s="1164"/>
      <c r="L31" s="1498"/>
      <c r="M31" s="1498"/>
      <c r="N31" s="1498"/>
      <c r="O31" s="1498"/>
      <c r="P31" s="1498"/>
      <c r="Q31" s="1498"/>
      <c r="R31" s="1498"/>
      <c r="S31" s="1498"/>
      <c r="T31" s="1498"/>
      <c r="U31" s="1498"/>
      <c r="V31" s="1498"/>
      <c r="W31" s="1498"/>
      <c r="X31" s="1498"/>
      <c r="Y31" s="1498"/>
      <c r="Z31" s="1498"/>
    </row>
    <row r="32" spans="1:31" x14ac:dyDescent="0.2">
      <c r="A32" s="1164"/>
      <c r="B32" s="1164"/>
      <c r="C32" s="1164"/>
      <c r="D32" s="1524" t="s">
        <v>1354</v>
      </c>
      <c r="E32" s="1253"/>
      <c r="F32" s="18"/>
      <c r="G32" s="18"/>
      <c r="H32" s="1532">
        <f t="shared" ref="H32:J34" si="10">$G32*AA32</f>
        <v>0</v>
      </c>
      <c r="I32" s="1532">
        <f t="shared" si="10"/>
        <v>0</v>
      </c>
      <c r="J32" s="1532">
        <f t="shared" si="10"/>
        <v>0</v>
      </c>
      <c r="K32" s="1164"/>
      <c r="L32" s="1498"/>
      <c r="M32" s="1498"/>
      <c r="N32" s="1498"/>
      <c r="O32" s="1498"/>
      <c r="P32" s="1498"/>
      <c r="Q32" s="1498"/>
      <c r="R32" s="1498"/>
      <c r="S32" s="1498"/>
      <c r="T32" s="1498"/>
      <c r="U32" s="1498"/>
      <c r="V32" s="1498"/>
      <c r="W32" s="1498"/>
      <c r="X32" s="1498"/>
      <c r="Y32" s="1498"/>
      <c r="Z32" s="1498"/>
      <c r="AA32" s="1664">
        <f>IF(ISBLANK($F32),0,VLOOKUP($F32,$AG$6:$AI$16,2,FALSE))</f>
        <v>0</v>
      </c>
      <c r="AB32" s="1664">
        <f>IF(ISBLANK($F32),0,VLOOKUP($F32,$AG$6:$AI$16,3,FALSE))</f>
        <v>0</v>
      </c>
      <c r="AC32" s="1681">
        <f>IF(ISBLANK($F32),0,VLOOKUP($F32,$AG$6:$AJ$16,4,FALSE))</f>
        <v>0</v>
      </c>
      <c r="AD32" s="1952">
        <f t="shared" si="7"/>
        <v>0</v>
      </c>
      <c r="AE32" s="1337">
        <f t="shared" si="8"/>
        <v>0</v>
      </c>
    </row>
    <row r="33" spans="1:37" x14ac:dyDescent="0.2">
      <c r="A33" s="1164"/>
      <c r="B33" s="1164"/>
      <c r="C33" s="1164"/>
      <c r="D33" s="1253"/>
      <c r="E33" s="1674"/>
      <c r="F33" s="18"/>
      <c r="G33" s="18"/>
      <c r="H33" s="1532">
        <f t="shared" si="10"/>
        <v>0</v>
      </c>
      <c r="I33" s="1532">
        <f t="shared" si="10"/>
        <v>0</v>
      </c>
      <c r="J33" s="1532">
        <f t="shared" si="10"/>
        <v>0</v>
      </c>
      <c r="K33" s="1164"/>
      <c r="L33" s="1498"/>
      <c r="M33" s="1498"/>
      <c r="N33" s="1498"/>
      <c r="O33" s="1498"/>
      <c r="P33" s="1498"/>
      <c r="Q33" s="1498"/>
      <c r="R33" s="1498"/>
      <c r="S33" s="1498"/>
      <c r="T33" s="1498"/>
      <c r="U33" s="1498"/>
      <c r="V33" s="1498"/>
      <c r="W33" s="1498"/>
      <c r="X33" s="1498"/>
      <c r="Y33" s="1498"/>
      <c r="Z33" s="1498"/>
      <c r="AA33" s="1664">
        <f>IF(ISBLANK($F33),0,VLOOKUP($F33,$AG$6:$AI$16,2,FALSE))</f>
        <v>0</v>
      </c>
      <c r="AB33" s="1664">
        <f>IF(ISBLANK($F33),0,VLOOKUP($F33,$AG$6:$AI$16,3,FALSE))</f>
        <v>0</v>
      </c>
      <c r="AC33" s="1681">
        <f>IF(ISBLANK($F33),0,VLOOKUP($F33,$AG$6:$AJ$16,4,FALSE))</f>
        <v>0</v>
      </c>
      <c r="AD33" s="1952">
        <f t="shared" si="7"/>
        <v>0</v>
      </c>
      <c r="AE33" s="1337">
        <f t="shared" si="8"/>
        <v>0</v>
      </c>
    </row>
    <row r="34" spans="1:37" x14ac:dyDescent="0.2">
      <c r="A34" s="1164"/>
      <c r="B34" s="1164"/>
      <c r="C34" s="1164"/>
      <c r="D34" s="1253"/>
      <c r="E34" s="1253"/>
      <c r="F34" s="18"/>
      <c r="G34" s="18"/>
      <c r="H34" s="1532">
        <f t="shared" si="10"/>
        <v>0</v>
      </c>
      <c r="I34" s="1532">
        <f t="shared" si="10"/>
        <v>0</v>
      </c>
      <c r="J34" s="1532">
        <f t="shared" si="10"/>
        <v>0</v>
      </c>
      <c r="K34" s="1164"/>
      <c r="L34" s="1498"/>
      <c r="M34" s="1498"/>
      <c r="N34" s="1498"/>
      <c r="O34" s="1498"/>
      <c r="P34" s="1498"/>
      <c r="Q34" s="1498"/>
      <c r="R34" s="1498"/>
      <c r="S34" s="1498"/>
      <c r="T34" s="1498"/>
      <c r="U34" s="1498"/>
      <c r="V34" s="1498"/>
      <c r="W34" s="1498"/>
      <c r="X34" s="1498"/>
      <c r="Y34" s="1498"/>
      <c r="Z34" s="1498"/>
      <c r="AA34" s="1664">
        <f>IF(ISBLANK($F34),0,VLOOKUP($F34,$AG$6:$AI$16,2,FALSE))</f>
        <v>0</v>
      </c>
      <c r="AB34" s="1664">
        <f>IF(ISBLANK($F34),0,VLOOKUP($F34,$AG$6:$AI$16,3,FALSE))</f>
        <v>0</v>
      </c>
      <c r="AC34" s="1681">
        <f>IF(ISBLANK($F34),0,VLOOKUP($F34,$AG$6:$AJ$16,4,FALSE))</f>
        <v>0</v>
      </c>
      <c r="AD34" s="1952">
        <f t="shared" si="7"/>
        <v>0</v>
      </c>
      <c r="AE34" s="1337">
        <f t="shared" si="8"/>
        <v>0</v>
      </c>
    </row>
    <row r="35" spans="1:37" x14ac:dyDescent="0.2">
      <c r="A35" s="1164"/>
      <c r="B35" s="1164"/>
      <c r="C35" s="1164"/>
      <c r="D35" s="1253"/>
      <c r="E35" s="1253"/>
      <c r="F35" s="1"/>
      <c r="G35" s="1"/>
      <c r="H35" s="1531"/>
      <c r="I35" s="1531"/>
      <c r="J35" s="1531"/>
      <c r="K35" s="1164"/>
      <c r="L35" s="1498"/>
      <c r="M35" s="1498"/>
      <c r="N35" s="1498"/>
      <c r="O35" s="1498"/>
      <c r="P35" s="1498"/>
      <c r="Q35" s="1498"/>
      <c r="R35" s="1498"/>
      <c r="S35" s="1498"/>
      <c r="T35" s="1498"/>
      <c r="U35" s="1498"/>
      <c r="V35" s="1498"/>
      <c r="W35" s="1498"/>
      <c r="X35" s="1498"/>
      <c r="Y35" s="1498"/>
      <c r="Z35" s="1498"/>
    </row>
    <row r="36" spans="1:37" x14ac:dyDescent="0.2">
      <c r="A36" s="1164"/>
      <c r="B36" s="1164"/>
      <c r="C36" s="1164"/>
      <c r="D36" s="1524" t="s">
        <v>1357</v>
      </c>
      <c r="E36" s="1253"/>
      <c r="F36" s="18"/>
      <c r="G36" s="18"/>
      <c r="H36" s="1532">
        <f t="shared" ref="H36:J38" si="11">$G36*AA36</f>
        <v>0</v>
      </c>
      <c r="I36" s="1532">
        <f t="shared" si="11"/>
        <v>0</v>
      </c>
      <c r="J36" s="1532">
        <f t="shared" si="11"/>
        <v>0</v>
      </c>
      <c r="K36" s="1164"/>
      <c r="L36" s="1498"/>
      <c r="M36" s="1498"/>
      <c r="N36" s="1498"/>
      <c r="O36" s="1498"/>
      <c r="P36" s="1498"/>
      <c r="Q36" s="1498"/>
      <c r="R36" s="1498"/>
      <c r="S36" s="1498"/>
      <c r="T36" s="1498"/>
      <c r="U36" s="1498"/>
      <c r="V36" s="1498"/>
      <c r="W36" s="1498"/>
      <c r="X36" s="1498"/>
      <c r="Y36" s="1498"/>
      <c r="Z36" s="1498"/>
      <c r="AA36" s="1664">
        <f>IF(ISBLANK($F36),0,VLOOKUP($F36,$AG$6:$AI$16,2,FALSE))</f>
        <v>0</v>
      </c>
      <c r="AB36" s="1664">
        <f>IF(ISBLANK($F36),0,VLOOKUP($F36,$AG$6:$AI$16,3,FALSE))</f>
        <v>0</v>
      </c>
      <c r="AC36" s="1681">
        <f>IF(ISBLANK($F36),0,VLOOKUP($F36,$AG$6:$AJ$16,4,FALSE))</f>
        <v>0</v>
      </c>
      <c r="AD36" s="1952">
        <f t="shared" si="7"/>
        <v>0</v>
      </c>
      <c r="AE36" s="1337">
        <f t="shared" si="8"/>
        <v>0</v>
      </c>
    </row>
    <row r="37" spans="1:37" x14ac:dyDescent="0.2">
      <c r="A37" s="1164"/>
      <c r="B37" s="1164"/>
      <c r="C37" s="1164"/>
      <c r="D37" s="1524"/>
      <c r="E37" s="1674"/>
      <c r="F37" s="18"/>
      <c r="G37" s="18"/>
      <c r="H37" s="1532">
        <f t="shared" si="11"/>
        <v>0</v>
      </c>
      <c r="I37" s="1532">
        <f t="shared" si="11"/>
        <v>0</v>
      </c>
      <c r="J37" s="1532">
        <f t="shared" si="11"/>
        <v>0</v>
      </c>
      <c r="K37" s="1164"/>
      <c r="L37" s="1498"/>
      <c r="M37" s="1498"/>
      <c r="N37" s="1498"/>
      <c r="O37" s="1498"/>
      <c r="P37" s="1498"/>
      <c r="Q37" s="1498"/>
      <c r="R37" s="1498"/>
      <c r="S37" s="1498"/>
      <c r="T37" s="1498"/>
      <c r="U37" s="1498"/>
      <c r="V37" s="1498"/>
      <c r="W37" s="1498"/>
      <c r="X37" s="1498"/>
      <c r="Y37" s="1498"/>
      <c r="Z37" s="1498"/>
      <c r="AA37" s="1664">
        <f>IF(ISBLANK($F37),0,VLOOKUP($F37,$AG$6:$AI$16,2,FALSE))</f>
        <v>0</v>
      </c>
      <c r="AB37" s="1664">
        <f>IF(ISBLANK($F37),0,VLOOKUP($F37,$AG$6:$AI$16,3,FALSE))</f>
        <v>0</v>
      </c>
      <c r="AC37" s="1681">
        <f>IF(ISBLANK($F37),0,VLOOKUP($F37,$AG$6:$AJ$16,4,FALSE))</f>
        <v>0</v>
      </c>
      <c r="AD37" s="1952">
        <f t="shared" si="7"/>
        <v>0</v>
      </c>
      <c r="AE37" s="1337">
        <f t="shared" si="8"/>
        <v>0</v>
      </c>
    </row>
    <row r="38" spans="1:37" x14ac:dyDescent="0.2">
      <c r="A38" s="1164"/>
      <c r="B38" s="1164"/>
      <c r="C38" s="1164"/>
      <c r="D38" s="1253"/>
      <c r="E38" s="1253"/>
      <c r="F38" s="18"/>
      <c r="G38" s="18"/>
      <c r="H38" s="1532">
        <f t="shared" si="11"/>
        <v>0</v>
      </c>
      <c r="I38" s="1532">
        <f t="shared" si="11"/>
        <v>0</v>
      </c>
      <c r="J38" s="1532">
        <f t="shared" si="11"/>
        <v>0</v>
      </c>
      <c r="K38" s="1164"/>
      <c r="L38" s="1498"/>
      <c r="M38" s="1498"/>
      <c r="N38" s="1498"/>
      <c r="O38" s="1498"/>
      <c r="P38" s="1498"/>
      <c r="Q38" s="1498"/>
      <c r="R38" s="1498"/>
      <c r="S38" s="1498"/>
      <c r="T38" s="1498"/>
      <c r="U38" s="1498"/>
      <c r="V38" s="1498"/>
      <c r="W38" s="1498"/>
      <c r="X38" s="1498"/>
      <c r="Y38" s="1498"/>
      <c r="Z38" s="1498"/>
      <c r="AA38" s="1664">
        <f>IF(ISBLANK($F38),0,VLOOKUP($F38,$AG$6:$AI$16,2,FALSE))</f>
        <v>0</v>
      </c>
      <c r="AB38" s="1664">
        <f>IF(ISBLANK($F38),0,VLOOKUP($F38,$AG$6:$AI$16,3,FALSE))</f>
        <v>0</v>
      </c>
      <c r="AC38" s="1681">
        <f>IF(ISBLANK($F38),0,VLOOKUP($F38,$AG$6:$AJ$16,4,FALSE))</f>
        <v>0</v>
      </c>
      <c r="AD38" s="1952">
        <f>IF(ISBLANK($F38),0,VLOOKUP($F38,$AG$6:$AK$16,5,FALSE))</f>
        <v>0</v>
      </c>
      <c r="AE38" s="1337">
        <f t="shared" si="8"/>
        <v>0</v>
      </c>
    </row>
    <row r="39" spans="1:37" x14ac:dyDescent="0.2">
      <c r="A39" s="1164"/>
      <c r="B39" s="1164"/>
      <c r="C39" s="1164"/>
      <c r="D39" s="1253"/>
      <c r="E39" s="1164"/>
      <c r="F39" s="1164"/>
      <c r="G39" s="1164"/>
      <c r="H39" s="1164"/>
      <c r="I39" s="1164"/>
      <c r="J39" s="1164"/>
      <c r="K39" s="1164"/>
      <c r="L39" s="1498"/>
      <c r="M39" s="1498"/>
      <c r="N39" s="1498"/>
      <c r="O39" s="1498"/>
      <c r="P39" s="1498"/>
      <c r="Q39" s="1498"/>
      <c r="R39" s="1498"/>
      <c r="S39" s="1498"/>
      <c r="T39" s="1498"/>
      <c r="U39" s="1498"/>
      <c r="V39" s="1498"/>
      <c r="W39" s="1498"/>
      <c r="X39" s="1498"/>
      <c r="Y39" s="1498"/>
      <c r="Z39" s="1498"/>
    </row>
    <row r="40" spans="1:37" x14ac:dyDescent="0.2">
      <c r="A40" s="1164"/>
      <c r="B40" s="1164"/>
      <c r="C40" s="1164"/>
      <c r="D40" s="1524" t="s">
        <v>1270</v>
      </c>
      <c r="E40" s="1253"/>
      <c r="F40" s="18"/>
      <c r="G40" s="18"/>
      <c r="H40" s="1532">
        <f t="shared" ref="H40:J42" si="12">$G40*AA40</f>
        <v>0</v>
      </c>
      <c r="I40" s="1532">
        <f t="shared" si="12"/>
        <v>0</v>
      </c>
      <c r="J40" s="1532">
        <f t="shared" si="12"/>
        <v>0</v>
      </c>
      <c r="K40" s="1164"/>
      <c r="L40" s="1498"/>
      <c r="M40" s="1498"/>
      <c r="N40" s="1498"/>
      <c r="O40" s="1498"/>
      <c r="P40" s="1498"/>
      <c r="Q40" s="1498"/>
      <c r="R40" s="1498"/>
      <c r="S40" s="1498"/>
      <c r="T40" s="1498"/>
      <c r="U40" s="1498"/>
      <c r="V40" s="1498"/>
      <c r="W40" s="1498"/>
      <c r="X40" s="1498"/>
      <c r="Y40" s="1498"/>
      <c r="Z40" s="1498"/>
      <c r="AA40" s="1664">
        <f>IF(ISBLANK($F40),0,VLOOKUP($F40,$AG$6:$AI$16,2,FALSE))</f>
        <v>0</v>
      </c>
      <c r="AB40" s="1664">
        <f>IF(ISBLANK($F40),0,VLOOKUP($F40,$AG$6:$AI$16,3,FALSE))</f>
        <v>0</v>
      </c>
      <c r="AC40" s="1681">
        <f>IF(ISBLANK($F40),0,VLOOKUP($F40,$AG$6:$AJ$16,4,FALSE))</f>
        <v>0</v>
      </c>
      <c r="AD40" s="1952">
        <f t="shared" si="7"/>
        <v>0</v>
      </c>
      <c r="AE40" s="1337">
        <f t="shared" si="8"/>
        <v>0</v>
      </c>
    </row>
    <row r="41" spans="1:37" x14ac:dyDescent="0.2">
      <c r="A41" s="1164"/>
      <c r="B41" s="1164"/>
      <c r="C41" s="1164"/>
      <c r="D41" s="1524" t="s">
        <v>1271</v>
      </c>
      <c r="E41" s="1674"/>
      <c r="F41" s="18"/>
      <c r="G41" s="18"/>
      <c r="H41" s="1532">
        <f t="shared" si="12"/>
        <v>0</v>
      </c>
      <c r="I41" s="1532">
        <f t="shared" si="12"/>
        <v>0</v>
      </c>
      <c r="J41" s="1532">
        <f t="shared" si="12"/>
        <v>0</v>
      </c>
      <c r="K41" s="1164"/>
      <c r="L41" s="1498"/>
      <c r="M41" s="1498"/>
      <c r="N41" s="1498"/>
      <c r="O41" s="1498"/>
      <c r="P41" s="1498"/>
      <c r="Q41" s="1498"/>
      <c r="R41" s="1498"/>
      <c r="S41" s="1498"/>
      <c r="T41" s="1498"/>
      <c r="U41" s="1498"/>
      <c r="V41" s="1498"/>
      <c r="W41" s="1498"/>
      <c r="X41" s="1498"/>
      <c r="Y41" s="1498"/>
      <c r="Z41" s="1498"/>
      <c r="AA41" s="1664">
        <f>IF(ISBLANK($F41),0,VLOOKUP($F41,$AG$6:$AI$16,2,FALSE))</f>
        <v>0</v>
      </c>
      <c r="AB41" s="1664">
        <f>IF(ISBLANK($F41),0,VLOOKUP($F41,$AG$6:$AI$16,3,FALSE))</f>
        <v>0</v>
      </c>
      <c r="AC41" s="1681">
        <f>IF(ISBLANK($F41),0,VLOOKUP($F41,$AG$6:$AJ$16,4,FALSE))</f>
        <v>0</v>
      </c>
      <c r="AD41" s="1952">
        <f t="shared" si="7"/>
        <v>0</v>
      </c>
      <c r="AE41" s="1337">
        <f t="shared" si="8"/>
        <v>0</v>
      </c>
    </row>
    <row r="42" spans="1:37" x14ac:dyDescent="0.2">
      <c r="A42" s="1164"/>
      <c r="B42" s="1164"/>
      <c r="C42" s="1164"/>
      <c r="D42" s="1524"/>
      <c r="E42" s="1253"/>
      <c r="F42" s="18"/>
      <c r="G42" s="18"/>
      <c r="H42" s="1532">
        <f t="shared" si="12"/>
        <v>0</v>
      </c>
      <c r="I42" s="1532">
        <f t="shared" si="12"/>
        <v>0</v>
      </c>
      <c r="J42" s="1532">
        <f t="shared" si="12"/>
        <v>0</v>
      </c>
      <c r="K42" s="1164"/>
      <c r="L42" s="1498"/>
      <c r="M42" s="1806"/>
      <c r="N42" s="1806"/>
      <c r="O42" s="1498"/>
      <c r="P42" s="1498"/>
      <c r="Q42" s="1498"/>
      <c r="R42" s="1498"/>
      <c r="S42" s="1498"/>
      <c r="T42" s="1498"/>
      <c r="U42" s="1498"/>
      <c r="V42" s="1498"/>
      <c r="W42" s="1498"/>
      <c r="X42" s="1498"/>
      <c r="Y42" s="1498"/>
      <c r="Z42" s="1498"/>
      <c r="AA42" s="1664">
        <f>IF(ISBLANK($F42),0,VLOOKUP($F42,$AG$6:$AI$16,2,FALSE))</f>
        <v>0</v>
      </c>
      <c r="AB42" s="1664">
        <f>IF(ISBLANK($F42),0,VLOOKUP($F42,$AG$6:$AI$16,3,FALSE))</f>
        <v>0</v>
      </c>
      <c r="AC42" s="1681">
        <f>IF(ISBLANK($F42),0,VLOOKUP($F42,$AG$6:$AJ$16,4,FALSE))</f>
        <v>0</v>
      </c>
      <c r="AD42" s="1952">
        <f>IF(ISBLANK($F42),0,VLOOKUP($F42,$AG$6:$AK$16,5,FALSE))</f>
        <v>0</v>
      </c>
      <c r="AE42" s="1337">
        <f t="shared" si="8"/>
        <v>0</v>
      </c>
    </row>
    <row r="43" spans="1:37" ht="15" customHeight="1" x14ac:dyDescent="0.25">
      <c r="A43" s="3320" t="s">
        <v>1352</v>
      </c>
      <c r="B43" s="3320"/>
      <c r="C43" s="1692"/>
      <c r="D43" s="1524"/>
      <c r="E43" s="1164"/>
      <c r="F43" s="1164"/>
      <c r="G43" s="1164"/>
      <c r="H43" s="1164"/>
      <c r="I43" s="1164"/>
      <c r="J43" s="1164"/>
      <c r="K43" s="1164"/>
      <c r="L43" s="1498"/>
      <c r="M43" s="1498"/>
      <c r="N43" s="1498"/>
      <c r="O43" s="1498"/>
      <c r="P43" s="1498"/>
      <c r="Q43" s="1498"/>
      <c r="R43" s="1498"/>
      <c r="S43" s="1498"/>
      <c r="T43" s="1498"/>
      <c r="U43" s="1498"/>
      <c r="V43" s="1498"/>
      <c r="W43" s="1498"/>
      <c r="X43" s="1498"/>
      <c r="Y43" s="1498"/>
      <c r="Z43" s="1498"/>
    </row>
    <row r="44" spans="1:37" ht="15" x14ac:dyDescent="0.25">
      <c r="A44" s="3320"/>
      <c r="B44" s="3320"/>
      <c r="C44" s="1692"/>
      <c r="D44" s="3315" t="s">
        <v>1414</v>
      </c>
      <c r="E44" s="3315"/>
      <c r="F44" s="1478" t="s">
        <v>1162</v>
      </c>
      <c r="G44" s="1478" t="s">
        <v>1669</v>
      </c>
      <c r="H44" s="1478" t="s">
        <v>219</v>
      </c>
      <c r="I44" s="1478" t="s">
        <v>625</v>
      </c>
      <c r="J44" s="1478" t="s">
        <v>187</v>
      </c>
      <c r="K44" s="1164"/>
      <c r="L44" s="1498"/>
      <c r="M44" s="1498"/>
      <c r="N44" s="1498"/>
      <c r="O44" s="1498"/>
      <c r="P44" s="1498"/>
      <c r="Q44" s="1498"/>
      <c r="R44" s="1498"/>
      <c r="S44" s="1498"/>
      <c r="T44" s="1498"/>
      <c r="U44" s="1498"/>
      <c r="V44" s="1498"/>
      <c r="W44" s="1498"/>
      <c r="X44" s="1498"/>
      <c r="Y44" s="1498"/>
      <c r="Z44" s="1498"/>
    </row>
    <row r="45" spans="1:37" ht="15" x14ac:dyDescent="0.25">
      <c r="A45" s="1284"/>
      <c r="B45" s="1284" t="s">
        <v>413</v>
      </c>
      <c r="C45" s="1164"/>
      <c r="D45" s="3316" t="s">
        <v>413</v>
      </c>
      <c r="E45" s="3316"/>
      <c r="F45" s="1"/>
      <c r="G45" s="1478" t="s">
        <v>1668</v>
      </c>
      <c r="H45" s="1531"/>
      <c r="I45" s="1531"/>
      <c r="J45" s="1531"/>
      <c r="K45" s="1"/>
      <c r="L45" s="1498"/>
      <c r="M45" s="1498"/>
      <c r="N45" s="1498"/>
      <c r="O45" s="1498"/>
      <c r="P45" s="1498"/>
      <c r="Q45" s="1498"/>
      <c r="R45" s="1498"/>
      <c r="S45" s="1498"/>
      <c r="T45" s="1498"/>
      <c r="U45" s="1498"/>
      <c r="V45" s="1498"/>
      <c r="W45" s="1498"/>
      <c r="X45" s="1498"/>
      <c r="Y45" s="1498"/>
      <c r="Z45" s="1498"/>
      <c r="AA45" s="1529" t="s">
        <v>219</v>
      </c>
      <c r="AB45" s="1529" t="s">
        <v>625</v>
      </c>
      <c r="AC45" s="1529" t="s">
        <v>187</v>
      </c>
      <c r="AD45" s="1951" t="s">
        <v>665</v>
      </c>
      <c r="AE45" s="1960" t="s">
        <v>665</v>
      </c>
    </row>
    <row r="46" spans="1:37" x14ac:dyDescent="0.2">
      <c r="A46" s="1483" t="s">
        <v>244</v>
      </c>
      <c r="B46" s="1917">
        <f>0.00086*AVL_Conc*VL_NbVaches</f>
        <v>48.245999999999995</v>
      </c>
      <c r="C46" s="1483" t="s">
        <v>1355</v>
      </c>
      <c r="D46" s="1524" t="s">
        <v>1164</v>
      </c>
      <c r="E46" s="1253"/>
      <c r="F46" s="18" t="s">
        <v>1188</v>
      </c>
      <c r="G46" s="18">
        <v>20</v>
      </c>
      <c r="H46" s="1532">
        <f t="shared" ref="H46:J48" si="13">$G46*AA46</f>
        <v>20000</v>
      </c>
      <c r="I46" s="1532">
        <f t="shared" si="13"/>
        <v>512</v>
      </c>
      <c r="J46" s="1532">
        <f t="shared" si="13"/>
        <v>200</v>
      </c>
      <c r="K46" s="1"/>
      <c r="L46" s="1498"/>
      <c r="M46" s="1498"/>
      <c r="N46" s="1498"/>
      <c r="O46" s="1498"/>
      <c r="P46" s="1498"/>
      <c r="Q46" s="1498"/>
      <c r="R46" s="1498"/>
      <c r="S46" s="1498"/>
      <c r="T46" s="1498"/>
      <c r="U46" s="1498"/>
      <c r="V46" s="1498"/>
      <c r="W46" s="1498"/>
      <c r="X46" s="1498"/>
      <c r="Y46" s="1498"/>
      <c r="Z46" s="1498"/>
      <c r="AA46" s="1516">
        <f>IF(ISBLANK($F46),0,VLOOKUP($F46,$AG$47:$AI$60,2,FALSE))</f>
        <v>1000</v>
      </c>
      <c r="AB46" s="1516">
        <f>IF(ISBLANK($F46),0,VLOOKUP($F46,$AG$47:$AI$60,3,FALSE))</f>
        <v>25.6</v>
      </c>
      <c r="AC46" s="1681">
        <f>IF(ISBLANK($F46),0,VLOOKUP($F46,$AG$47:$AJ$60,4,FALSE))</f>
        <v>10</v>
      </c>
      <c r="AD46" s="1952">
        <f>IF(ISBLANK($F46),0,VLOOKUP($F46,$AG$47:$AK$60,5,FALSE))</f>
        <v>8</v>
      </c>
      <c r="AE46" s="1337">
        <f>$G46*AD46</f>
        <v>160</v>
      </c>
      <c r="AG46" s="1525" t="s">
        <v>1272</v>
      </c>
      <c r="AH46" s="1516" t="s">
        <v>1172</v>
      </c>
      <c r="AI46" s="1516" t="s">
        <v>1173</v>
      </c>
      <c r="AJ46" s="1487" t="s">
        <v>1374</v>
      </c>
      <c r="AK46" s="1487" t="s">
        <v>1900</v>
      </c>
    </row>
    <row r="47" spans="1:37" x14ac:dyDescent="0.2">
      <c r="A47" s="1483" t="s">
        <v>1413</v>
      </c>
      <c r="B47" s="1917">
        <f>0.00086*AVL_ConcAuto*VL_NbVaches</f>
        <v>13.158000000000001</v>
      </c>
      <c r="C47" s="1164"/>
      <c r="D47" s="1253"/>
      <c r="E47" s="1674"/>
      <c r="F47" s="18" t="s">
        <v>1187</v>
      </c>
      <c r="G47" s="18">
        <v>20</v>
      </c>
      <c r="H47" s="1532">
        <f t="shared" si="13"/>
        <v>20000</v>
      </c>
      <c r="I47" s="1532">
        <f t="shared" si="13"/>
        <v>576</v>
      </c>
      <c r="J47" s="1532">
        <f t="shared" si="13"/>
        <v>220</v>
      </c>
      <c r="K47" s="1"/>
      <c r="L47" s="1498"/>
      <c r="M47" s="1498"/>
      <c r="N47" s="1498"/>
      <c r="O47" s="1498"/>
      <c r="P47" s="1498"/>
      <c r="Q47" s="1498"/>
      <c r="R47" s="1498"/>
      <c r="S47" s="1498"/>
      <c r="T47" s="1498"/>
      <c r="U47" s="1498"/>
      <c r="V47" s="1498"/>
      <c r="W47" s="1498"/>
      <c r="X47" s="1498"/>
      <c r="Y47" s="1498"/>
      <c r="Z47" s="1498"/>
      <c r="AA47" s="1564">
        <f>IF(ISBLANK($F47),0,VLOOKUP($F47,$AG$47:$AI$60,2,FALSE))</f>
        <v>1000</v>
      </c>
      <c r="AB47" s="1564">
        <f>IF(ISBLANK($F47),0,VLOOKUP($F47,$AG$47:$AI$60,3,FALSE))</f>
        <v>28.8</v>
      </c>
      <c r="AC47" s="1681">
        <f>IF(ISBLANK($F47),0,VLOOKUP($F47,$AG$47:$AJ$60,4,FALSE))</f>
        <v>11</v>
      </c>
      <c r="AD47" s="1952">
        <f>IF(ISBLANK($F47),0,VLOOKUP($F47,$AG$47:$AK$60,5,FALSE))</f>
        <v>10</v>
      </c>
      <c r="AE47" s="1337">
        <f t="shared" ref="AE47:AE60" si="14">$G47*AD47</f>
        <v>200</v>
      </c>
      <c r="AG47" s="1487" t="s">
        <v>1186</v>
      </c>
      <c r="AH47" s="1526">
        <f>Paramètres!BJ17</f>
        <v>1000</v>
      </c>
      <c r="AI47" s="1526">
        <f>Paramètres!BK17</f>
        <v>18</v>
      </c>
      <c r="AJ47" s="1526">
        <f>Paramètres!BL17</f>
        <v>7.5</v>
      </c>
      <c r="AK47" s="1526">
        <f>Paramètres!BM17</f>
        <v>5</v>
      </c>
    </row>
    <row r="48" spans="1:37" x14ac:dyDescent="0.2">
      <c r="A48" s="1164"/>
      <c r="B48" s="1164"/>
      <c r="C48" s="1164"/>
      <c r="D48" s="1253"/>
      <c r="E48" s="1253"/>
      <c r="F48" s="18"/>
      <c r="G48" s="18"/>
      <c r="H48" s="1532">
        <f t="shared" si="13"/>
        <v>0</v>
      </c>
      <c r="I48" s="1532">
        <f t="shared" si="13"/>
        <v>0</v>
      </c>
      <c r="J48" s="1532">
        <f t="shared" si="13"/>
        <v>0</v>
      </c>
      <c r="K48" s="1"/>
      <c r="L48" s="1498"/>
      <c r="M48" s="1498"/>
      <c r="N48" s="1498"/>
      <c r="O48" s="1498"/>
      <c r="P48" s="1498"/>
      <c r="Q48" s="1498"/>
      <c r="R48" s="1498"/>
      <c r="S48" s="1498"/>
      <c r="T48" s="1498"/>
      <c r="U48" s="1498"/>
      <c r="V48" s="1498"/>
      <c r="W48" s="1498"/>
      <c r="X48" s="1498"/>
      <c r="Y48" s="1498"/>
      <c r="Z48" s="1498"/>
      <c r="AA48" s="1564">
        <f>IF(ISBLANK($F48),0,VLOOKUP($F48,$AG$47:$AI$60,2,FALSE))</f>
        <v>0</v>
      </c>
      <c r="AB48" s="1564">
        <f>IF(ISBLANK($F48),0,VLOOKUP($F48,$AG$47:$AI$60,3,FALSE))</f>
        <v>0</v>
      </c>
      <c r="AC48" s="1681">
        <f>IF(ISBLANK($F48),0,VLOOKUP($F48,$AG$47:$AJ$60,4,FALSE))</f>
        <v>0</v>
      </c>
      <c r="AD48" s="1952">
        <f>IF(ISBLANK($F48),0,VLOOKUP($F48,$AG$47:$AK$60,5,FALSE))</f>
        <v>0</v>
      </c>
      <c r="AE48" s="1337">
        <f t="shared" si="14"/>
        <v>0</v>
      </c>
      <c r="AG48" s="1487" t="s">
        <v>1189</v>
      </c>
      <c r="AH48" s="1526">
        <f>Paramètres!BJ18</f>
        <v>1000</v>
      </c>
      <c r="AI48" s="1526">
        <f>Paramètres!BK18</f>
        <v>19.2</v>
      </c>
      <c r="AJ48" s="1526">
        <f>Paramètres!BL18</f>
        <v>9</v>
      </c>
      <c r="AK48" s="1526">
        <f>Paramètres!BM18</f>
        <v>8</v>
      </c>
    </row>
    <row r="49" spans="1:44" x14ac:dyDescent="0.2">
      <c r="A49" s="1164"/>
      <c r="B49" s="1164"/>
      <c r="C49" s="1164"/>
      <c r="D49" s="1253"/>
      <c r="E49" s="1253"/>
      <c r="F49" s="1"/>
      <c r="G49" s="1"/>
      <c r="H49" s="1531"/>
      <c r="I49" s="1531"/>
      <c r="J49" s="1531"/>
      <c r="K49" s="1"/>
      <c r="L49" s="1498"/>
      <c r="M49" s="1498"/>
      <c r="N49" s="1498"/>
      <c r="O49" s="1498"/>
      <c r="P49" s="1498"/>
      <c r="Q49" s="1498"/>
      <c r="R49" s="1498"/>
      <c r="S49" s="1498"/>
      <c r="T49" s="1498"/>
      <c r="U49" s="1498"/>
      <c r="V49" s="1498"/>
      <c r="W49" s="1498"/>
      <c r="X49" s="1498"/>
      <c r="Y49" s="1498"/>
      <c r="Z49" s="1498"/>
      <c r="AG49" s="1487" t="s">
        <v>1188</v>
      </c>
      <c r="AH49" s="1526">
        <f>Paramètres!BJ19</f>
        <v>1000</v>
      </c>
      <c r="AI49" s="1526">
        <f>Paramètres!BK19</f>
        <v>25.6</v>
      </c>
      <c r="AJ49" s="1526">
        <f>Paramètres!BL19</f>
        <v>10</v>
      </c>
      <c r="AK49" s="1526">
        <f>Paramètres!BM19</f>
        <v>8</v>
      </c>
    </row>
    <row r="50" spans="1:44" x14ac:dyDescent="0.2">
      <c r="A50" s="1483" t="s">
        <v>244</v>
      </c>
      <c r="B50" s="1917">
        <f>0.00086*AGL_Conc*VL_NbGenAn3</f>
        <v>8.3849999999999998</v>
      </c>
      <c r="C50" s="1483" t="s">
        <v>1355</v>
      </c>
      <c r="D50" s="1524" t="s">
        <v>1353</v>
      </c>
      <c r="E50" s="1253"/>
      <c r="F50" s="18" t="s">
        <v>1188</v>
      </c>
      <c r="G50" s="18">
        <v>4</v>
      </c>
      <c r="H50" s="1532">
        <f t="shared" ref="H50:J52" si="15">$G50*AA50</f>
        <v>4000</v>
      </c>
      <c r="I50" s="1532">
        <f t="shared" si="15"/>
        <v>102.4</v>
      </c>
      <c r="J50" s="1532">
        <f t="shared" si="15"/>
        <v>40</v>
      </c>
      <c r="K50" s="1"/>
      <c r="L50" s="1498"/>
      <c r="M50" s="1498"/>
      <c r="N50" s="1498"/>
      <c r="O50" s="1498"/>
      <c r="P50" s="1498"/>
      <c r="Q50" s="1498"/>
      <c r="R50" s="1498"/>
      <c r="S50" s="1498"/>
      <c r="T50" s="1498"/>
      <c r="U50" s="1498"/>
      <c r="V50" s="1498"/>
      <c r="W50" s="1498"/>
      <c r="X50" s="1498"/>
      <c r="Y50" s="1498"/>
      <c r="Z50" s="1498"/>
      <c r="AA50" s="1564">
        <f>IF(ISBLANK($F50),0,VLOOKUP($F50,$AG$47:$AI$60,2,FALSE))</f>
        <v>1000</v>
      </c>
      <c r="AB50" s="1564">
        <f>IF(ISBLANK($F50),0,VLOOKUP($F50,$AG$47:$AI$60,3,FALSE))</f>
        <v>25.6</v>
      </c>
      <c r="AC50" s="1681">
        <f>IF(ISBLANK($F50),0,VLOOKUP($F50,$AG$47:$AJ$60,4,FALSE))</f>
        <v>10</v>
      </c>
      <c r="AD50" s="1986">
        <f>IF(ISBLANK($F50),0,VLOOKUP($F50,$AG$47:$AK$60,5,FALSE))</f>
        <v>8</v>
      </c>
      <c r="AE50" s="1337">
        <f t="shared" si="14"/>
        <v>32</v>
      </c>
      <c r="AG50" s="1487" t="s">
        <v>1187</v>
      </c>
      <c r="AH50" s="1526">
        <f>Paramètres!BJ20</f>
        <v>1000</v>
      </c>
      <c r="AI50" s="1526">
        <f>Paramètres!BK20</f>
        <v>28.8</v>
      </c>
      <c r="AJ50" s="1526">
        <f>Paramètres!BL20</f>
        <v>11</v>
      </c>
      <c r="AK50" s="1526">
        <f>Paramètres!BM20</f>
        <v>10</v>
      </c>
    </row>
    <row r="51" spans="1:44" x14ac:dyDescent="0.2">
      <c r="A51" s="1483" t="s">
        <v>1413</v>
      </c>
      <c r="B51" s="1917">
        <f>0.00086*AGL_ConcAuto*VL_NbGenAn3</f>
        <v>3.87</v>
      </c>
      <c r="C51" s="1164"/>
      <c r="D51" s="1253"/>
      <c r="E51" s="1674"/>
      <c r="F51" s="18"/>
      <c r="G51" s="18"/>
      <c r="H51" s="1532">
        <f t="shared" si="15"/>
        <v>0</v>
      </c>
      <c r="I51" s="1532">
        <f t="shared" si="15"/>
        <v>0</v>
      </c>
      <c r="J51" s="1532">
        <f t="shared" si="15"/>
        <v>0</v>
      </c>
      <c r="K51" s="1"/>
      <c r="L51" s="1498"/>
      <c r="M51" s="1498"/>
      <c r="N51" s="1498"/>
      <c r="O51" s="1498"/>
      <c r="P51" s="1498"/>
      <c r="Q51" s="1498"/>
      <c r="R51" s="1498"/>
      <c r="S51" s="1498"/>
      <c r="T51" s="1498"/>
      <c r="U51" s="1498"/>
      <c r="V51" s="1498"/>
      <c r="W51" s="1498"/>
      <c r="X51" s="1498"/>
      <c r="Y51" s="1498"/>
      <c r="Z51" s="1498"/>
      <c r="AA51" s="1564">
        <f>IF(ISBLANK($F51),0,VLOOKUP($F51,$AG$47:$AI$60,2,FALSE))</f>
        <v>0</v>
      </c>
      <c r="AB51" s="1564">
        <f>IF(ISBLANK($F51),0,VLOOKUP($F51,$AG$47:$AI$60,3,FALSE))</f>
        <v>0</v>
      </c>
      <c r="AC51" s="1681">
        <f>IF(ISBLANK($F51),0,VLOOKUP($F51,$AG$47:$AJ$60,4,FALSE))</f>
        <v>0</v>
      </c>
      <c r="AD51" s="1986">
        <f>IF(ISBLANK($F51),0,VLOOKUP($F51,$AG$47:$AK$60,5,FALSE))</f>
        <v>0</v>
      </c>
      <c r="AE51" s="1337">
        <f t="shared" si="14"/>
        <v>0</v>
      </c>
      <c r="AG51" s="1487" t="s">
        <v>1178</v>
      </c>
      <c r="AH51" s="1526">
        <f>Paramètres!BJ21</f>
        <v>1200</v>
      </c>
      <c r="AI51" s="1526">
        <f>Paramètres!BK21</f>
        <v>74</v>
      </c>
      <c r="AJ51" s="1526">
        <f>Paramètres!BL21</f>
        <v>14</v>
      </c>
      <c r="AK51" s="1526">
        <f>Paramètres!BM21</f>
        <v>25.3</v>
      </c>
    </row>
    <row r="52" spans="1:44" x14ac:dyDescent="0.2">
      <c r="A52" s="1164"/>
      <c r="B52" s="1164"/>
      <c r="C52" s="1164"/>
      <c r="D52" s="1253"/>
      <c r="E52" s="1253"/>
      <c r="F52" s="18"/>
      <c r="G52" s="18"/>
      <c r="H52" s="1532">
        <f t="shared" si="15"/>
        <v>0</v>
      </c>
      <c r="I52" s="1532">
        <f t="shared" si="15"/>
        <v>0</v>
      </c>
      <c r="J52" s="1532">
        <f t="shared" si="15"/>
        <v>0</v>
      </c>
      <c r="K52" s="1"/>
      <c r="L52" s="1498"/>
      <c r="M52" s="1498"/>
      <c r="N52" s="1498"/>
      <c r="O52" s="1498"/>
      <c r="P52" s="1498"/>
      <c r="Q52" s="1498"/>
      <c r="R52" s="1498"/>
      <c r="S52" s="1498"/>
      <c r="T52" s="1498"/>
      <c r="U52" s="1498"/>
      <c r="V52" s="1498"/>
      <c r="W52" s="1498"/>
      <c r="X52" s="1498"/>
      <c r="Y52" s="1498"/>
      <c r="Z52" s="1498"/>
      <c r="AA52" s="1564">
        <f>IF(ISBLANK($F52),0,VLOOKUP($F52,$AG$47:$AI$60,2,FALSE))</f>
        <v>0</v>
      </c>
      <c r="AB52" s="1564">
        <f>IF(ISBLANK($F52),0,VLOOKUP($F52,$AG$47:$AI$60,3,FALSE))</f>
        <v>0</v>
      </c>
      <c r="AC52" s="1681">
        <f>IF(ISBLANK($F52),0,VLOOKUP($F52,$AG$47:$AJ$60,4,FALSE))</f>
        <v>0</v>
      </c>
      <c r="AD52" s="1986">
        <f>IF(ISBLANK($F52),0,VLOOKUP($F52,$AG$47:$AK$60,5,FALSE))</f>
        <v>0</v>
      </c>
      <c r="AE52" s="1337">
        <f t="shared" si="14"/>
        <v>0</v>
      </c>
      <c r="AG52" s="1487" t="s">
        <v>1179</v>
      </c>
      <c r="AH52" s="1526">
        <f>Paramètres!BJ22</f>
        <v>1200</v>
      </c>
      <c r="AI52" s="1526">
        <f>Paramètres!BK22</f>
        <v>75.5</v>
      </c>
      <c r="AJ52" s="1526">
        <f>Paramètres!BL22</f>
        <v>14</v>
      </c>
      <c r="AK52" s="1526">
        <f>Paramètres!BM22</f>
        <v>25.3</v>
      </c>
    </row>
    <row r="53" spans="1:44" x14ac:dyDescent="0.2">
      <c r="A53" s="1164"/>
      <c r="B53" s="1164"/>
      <c r="C53" s="1164"/>
      <c r="D53" s="1253"/>
      <c r="E53" s="1253"/>
      <c r="F53" s="1"/>
      <c r="G53" s="1"/>
      <c r="H53" s="1531"/>
      <c r="I53" s="1531"/>
      <c r="J53" s="1531"/>
      <c r="K53" s="1"/>
      <c r="L53" s="1498"/>
      <c r="M53" s="1498"/>
      <c r="N53" s="1498"/>
      <c r="O53" s="1498"/>
      <c r="P53" s="1498"/>
      <c r="Q53" s="1498"/>
      <c r="R53" s="1498"/>
      <c r="S53" s="1498"/>
      <c r="T53" s="1498"/>
      <c r="U53" s="1498"/>
      <c r="V53" s="1498"/>
      <c r="W53" s="1498"/>
      <c r="X53" s="1498"/>
      <c r="Y53" s="1498"/>
      <c r="Z53" s="1498"/>
      <c r="AG53" s="1487" t="s">
        <v>1180</v>
      </c>
      <c r="AH53" s="1526">
        <f>Paramètres!BJ23</f>
        <v>1200</v>
      </c>
      <c r="AI53" s="1526">
        <f>Paramètres!BK23</f>
        <v>76</v>
      </c>
      <c r="AJ53" s="1526">
        <f>Paramètres!BL23</f>
        <v>16</v>
      </c>
      <c r="AK53" s="1526">
        <f>Paramètres!BM23</f>
        <v>25.3</v>
      </c>
    </row>
    <row r="54" spans="1:44" x14ac:dyDescent="0.2">
      <c r="A54" s="1483" t="s">
        <v>244</v>
      </c>
      <c r="B54" s="1917">
        <f>0.00086*EN_NbTaurilL*AEN_ConcTauL</f>
        <v>0</v>
      </c>
      <c r="C54" s="1483" t="s">
        <v>1355</v>
      </c>
      <c r="D54" s="1524" t="s">
        <v>1356</v>
      </c>
      <c r="E54" s="1253"/>
      <c r="F54" s="18"/>
      <c r="G54" s="18"/>
      <c r="H54" s="1532">
        <f t="shared" ref="H54:J56" si="16">$G54*AA54</f>
        <v>0</v>
      </c>
      <c r="I54" s="1532">
        <f t="shared" si="16"/>
        <v>0</v>
      </c>
      <c r="J54" s="1532">
        <f t="shared" si="16"/>
        <v>0</v>
      </c>
      <c r="K54" s="1"/>
      <c r="L54" s="1498"/>
      <c r="M54" s="1498"/>
      <c r="N54" s="1498"/>
      <c r="O54" s="1498"/>
      <c r="P54" s="1498"/>
      <c r="Q54" s="1498"/>
      <c r="R54" s="1498"/>
      <c r="S54" s="1498"/>
      <c r="T54" s="1498"/>
      <c r="U54" s="1498"/>
      <c r="V54" s="1498"/>
      <c r="W54" s="1498"/>
      <c r="X54" s="1498"/>
      <c r="Y54" s="1498"/>
      <c r="Z54" s="1498"/>
      <c r="AA54" s="1564">
        <f>IF(ISBLANK($F54),0,VLOOKUP($F54,$AG$47:$AI$60,2,FALSE))</f>
        <v>0</v>
      </c>
      <c r="AB54" s="1564">
        <f>IF(ISBLANK($F54),0,VLOOKUP($F54,$AG$47:$AI$60,3,FALSE))</f>
        <v>0</v>
      </c>
      <c r="AC54" s="1681">
        <f>IF(ISBLANK($F54),0,VLOOKUP($F54,$AG$47:$AJ$60,4,FALSE))</f>
        <v>0</v>
      </c>
      <c r="AD54" s="1986">
        <f>IF(ISBLANK($F54),0,VLOOKUP($F54,$AG$47:$AK$60,5,FALSE))</f>
        <v>0</v>
      </c>
      <c r="AE54" s="1337">
        <f t="shared" si="14"/>
        <v>0</v>
      </c>
      <c r="AG54" s="1487" t="s">
        <v>1183</v>
      </c>
      <c r="AH54" s="1526">
        <f>Paramètres!BJ24</f>
        <v>1000</v>
      </c>
      <c r="AI54" s="1526">
        <f>Paramètres!BK24</f>
        <v>78.400000000000006</v>
      </c>
      <c r="AJ54" s="1526">
        <f>Paramètres!BL24</f>
        <v>13</v>
      </c>
      <c r="AK54" s="1526">
        <f>Paramètres!BM24</f>
        <v>17</v>
      </c>
    </row>
    <row r="55" spans="1:44" x14ac:dyDescent="0.2">
      <c r="A55" s="1483" t="s">
        <v>1413</v>
      </c>
      <c r="B55" s="1917">
        <f>0.00086*AEN_ConcTauLAuto*EN_NbTaurilL</f>
        <v>0</v>
      </c>
      <c r="C55" s="1164"/>
      <c r="D55" s="1253"/>
      <c r="E55" s="1674"/>
      <c r="F55" s="18"/>
      <c r="G55" s="18"/>
      <c r="H55" s="1532">
        <f t="shared" si="16"/>
        <v>0</v>
      </c>
      <c r="I55" s="1532">
        <f t="shared" si="16"/>
        <v>0</v>
      </c>
      <c r="J55" s="1532">
        <f t="shared" si="16"/>
        <v>0</v>
      </c>
      <c r="K55" s="1"/>
      <c r="L55" s="1498"/>
      <c r="M55" s="1498"/>
      <c r="N55" s="1498"/>
      <c r="O55" s="1498"/>
      <c r="P55" s="1498"/>
      <c r="Q55" s="1498"/>
      <c r="R55" s="1498"/>
      <c r="S55" s="1498"/>
      <c r="T55" s="1498"/>
      <c r="U55" s="1498"/>
      <c r="V55" s="1498"/>
      <c r="W55" s="1498"/>
      <c r="X55" s="1498"/>
      <c r="Y55" s="1498"/>
      <c r="Z55" s="1498"/>
      <c r="AA55" s="1564">
        <f>IF(ISBLANK($F55),0,VLOOKUP($F55,$AG$47:$AI$60,2,FALSE))</f>
        <v>0</v>
      </c>
      <c r="AB55" s="1564">
        <f>IF(ISBLANK($F55),0,VLOOKUP($F55,$AG$47:$AI$60,3,FALSE))</f>
        <v>0</v>
      </c>
      <c r="AC55" s="1681">
        <f>IF(ISBLANK($F55),0,VLOOKUP($F55,$AG$47:$AJ$60,4,FALSE))</f>
        <v>0</v>
      </c>
      <c r="AD55" s="1986">
        <f>IF(ISBLANK($F55),0,VLOOKUP($F55,$AG$47:$AK$60,5,FALSE))</f>
        <v>0</v>
      </c>
      <c r="AE55" s="1337">
        <f t="shared" si="14"/>
        <v>0</v>
      </c>
      <c r="AG55" s="1487" t="s">
        <v>1181</v>
      </c>
      <c r="AH55" s="1526">
        <f>Paramètres!BJ25</f>
        <v>950</v>
      </c>
      <c r="AI55" s="1526">
        <f>Paramètres!BK25</f>
        <v>54</v>
      </c>
      <c r="AJ55" s="1526">
        <f>Paramètres!BL25</f>
        <v>26</v>
      </c>
      <c r="AK55" s="1526">
        <f>Paramètres!BM25</f>
        <v>15</v>
      </c>
    </row>
    <row r="56" spans="1:44" x14ac:dyDescent="0.2">
      <c r="A56" s="1164"/>
      <c r="B56" s="1164"/>
      <c r="C56" s="1164"/>
      <c r="D56" s="1253"/>
      <c r="E56" s="1253"/>
      <c r="F56" s="18"/>
      <c r="G56" s="18"/>
      <c r="H56" s="1532">
        <f t="shared" si="16"/>
        <v>0</v>
      </c>
      <c r="I56" s="1532">
        <f t="shared" si="16"/>
        <v>0</v>
      </c>
      <c r="J56" s="1532">
        <f t="shared" si="16"/>
        <v>0</v>
      </c>
      <c r="K56" s="1"/>
      <c r="L56" s="1498"/>
      <c r="M56" s="1498"/>
      <c r="N56" s="1498"/>
      <c r="O56" s="1498"/>
      <c r="P56" s="1498"/>
      <c r="Q56" s="1498"/>
      <c r="R56" s="1498"/>
      <c r="S56" s="1498"/>
      <c r="T56" s="1498"/>
      <c r="U56" s="1498"/>
      <c r="V56" s="1498"/>
      <c r="W56" s="1498"/>
      <c r="X56" s="1498"/>
      <c r="Y56" s="1498"/>
      <c r="Z56" s="1498"/>
      <c r="AA56" s="1564">
        <f>IF(ISBLANK($F56),0,VLOOKUP($F56,$AG$47:$AI$60,2,FALSE))</f>
        <v>0</v>
      </c>
      <c r="AB56" s="1564">
        <f>IF(ISBLANK($F56),0,VLOOKUP($F56,$AG$47:$AI$60,3,FALSE))</f>
        <v>0</v>
      </c>
      <c r="AC56" s="1681">
        <f>IF(ISBLANK($F56),0,VLOOKUP($F56,$AG$47:$AJ$60,4,FALSE))</f>
        <v>0</v>
      </c>
      <c r="AD56" s="1986">
        <f>IF(ISBLANK($F56),0,VLOOKUP($F56,$AG$47:$AK$60,5,FALSE))</f>
        <v>0</v>
      </c>
      <c r="AE56" s="1337">
        <f t="shared" si="14"/>
        <v>0</v>
      </c>
      <c r="AG56" s="1676" t="s">
        <v>1182</v>
      </c>
      <c r="AH56" s="1526">
        <f>Paramètres!BJ26</f>
        <v>1000</v>
      </c>
      <c r="AI56" s="1526">
        <f>Paramètres!BK26</f>
        <v>49</v>
      </c>
      <c r="AJ56" s="1526">
        <f>Paramètres!BL26</f>
        <v>22</v>
      </c>
      <c r="AK56" s="1526">
        <f>Paramètres!BM26</f>
        <v>13</v>
      </c>
    </row>
    <row r="57" spans="1:44" x14ac:dyDescent="0.2">
      <c r="A57" s="1164"/>
      <c r="B57" s="1164"/>
      <c r="C57" s="1164"/>
      <c r="D57" s="1253"/>
      <c r="E57" s="1253"/>
      <c r="F57" s="1"/>
      <c r="G57" s="1"/>
      <c r="H57" s="1531"/>
      <c r="I57" s="1531"/>
      <c r="J57" s="1531"/>
      <c r="K57" s="1"/>
      <c r="L57" s="1498"/>
      <c r="M57" s="1498"/>
      <c r="N57" s="1498"/>
      <c r="O57" s="1498"/>
      <c r="P57" s="1498"/>
      <c r="Q57" s="1498"/>
      <c r="R57" s="1498"/>
      <c r="S57" s="1498"/>
      <c r="T57" s="1498"/>
      <c r="U57" s="1498"/>
      <c r="V57" s="1498"/>
      <c r="W57" s="1498"/>
      <c r="X57" s="1498"/>
      <c r="Y57" s="1498"/>
      <c r="Z57" s="1498"/>
      <c r="AG57" s="1487" t="s">
        <v>1229</v>
      </c>
      <c r="AH57" s="1526">
        <f>Paramètres!BJ27</f>
        <v>700</v>
      </c>
      <c r="AI57" s="1526">
        <f>Paramètres!BK27</f>
        <v>48.5</v>
      </c>
      <c r="AJ57" s="1526">
        <f>Paramètres!BL27</f>
        <v>23</v>
      </c>
      <c r="AK57" s="1526">
        <f>Paramètres!BM27</f>
        <v>19</v>
      </c>
      <c r="AM57" s="1369"/>
      <c r="AN57" s="1610" t="s">
        <v>2103</v>
      </c>
      <c r="AO57" s="1610" t="s">
        <v>244</v>
      </c>
      <c r="AP57" s="1736"/>
      <c r="AQ57" s="1610" t="s">
        <v>2104</v>
      </c>
      <c r="AR57" s="1736"/>
    </row>
    <row r="58" spans="1:44" x14ac:dyDescent="0.2">
      <c r="A58" s="1483" t="s">
        <v>244</v>
      </c>
      <c r="B58" s="1917">
        <f>0.00086*(AP61+AP68+AEN_ConcGen3L*SUM(Saisies_Exploitation!D107:D109)+AEN_ConcVLR*EN_NbVaRefLait)</f>
        <v>3.6120000000000001</v>
      </c>
      <c r="C58" s="1483" t="s">
        <v>1355</v>
      </c>
      <c r="D58" s="1524" t="s">
        <v>1270</v>
      </c>
      <c r="E58" s="1253"/>
      <c r="F58" s="18" t="s">
        <v>1188</v>
      </c>
      <c r="G58" s="18">
        <v>3</v>
      </c>
      <c r="H58" s="1532">
        <f t="shared" ref="H58:J60" si="17">$G58*AA58</f>
        <v>3000</v>
      </c>
      <c r="I58" s="1532">
        <f t="shared" si="17"/>
        <v>76.800000000000011</v>
      </c>
      <c r="J58" s="1532">
        <f t="shared" si="17"/>
        <v>30</v>
      </c>
      <c r="K58" s="1"/>
      <c r="L58" s="1498"/>
      <c r="M58" s="1498"/>
      <c r="N58" s="1498"/>
      <c r="O58" s="1498"/>
      <c r="P58" s="1498"/>
      <c r="Q58" s="1498"/>
      <c r="R58" s="1498"/>
      <c r="S58" s="1498"/>
      <c r="T58" s="1498"/>
      <c r="U58" s="1498"/>
      <c r="V58" s="1498"/>
      <c r="W58" s="1498"/>
      <c r="X58" s="1498"/>
      <c r="Y58" s="1498"/>
      <c r="Z58" s="1498"/>
      <c r="AA58" s="1564">
        <f>IF(ISBLANK($F58),0,VLOOKUP($F58,$AG$47:$AI$60,2,FALSE))</f>
        <v>1000</v>
      </c>
      <c r="AB58" s="1564">
        <f>IF(ISBLANK($F58),0,VLOOKUP($F58,$AG$47:$AI$60,3,FALSE))</f>
        <v>25.6</v>
      </c>
      <c r="AC58" s="1681">
        <f>IF(ISBLANK($F58),0,VLOOKUP($F58,$AG$47:$AJ$60,4,FALSE))</f>
        <v>10</v>
      </c>
      <c r="AD58" s="1986">
        <f>IF(ISBLANK($F58),0,VLOOKUP($F58,$AG$47:$AK$60,5,FALSE))</f>
        <v>8</v>
      </c>
      <c r="AE58" s="1337">
        <f t="shared" si="14"/>
        <v>24</v>
      </c>
      <c r="AG58" s="1487" t="s">
        <v>1185</v>
      </c>
      <c r="AH58" s="1526">
        <f>Paramètres!BJ28</f>
        <v>1100</v>
      </c>
      <c r="AI58" s="1526">
        <f>Paramètres!BK28</f>
        <v>28.8</v>
      </c>
      <c r="AJ58" s="1526">
        <f>Paramètres!BL28</f>
        <v>11</v>
      </c>
      <c r="AK58" s="1526">
        <f>Paramètres!BM28</f>
        <v>10</v>
      </c>
      <c r="AM58" s="1521" t="s">
        <v>2105</v>
      </c>
      <c r="AN58" s="1369">
        <f>EN_NbMalAn1L</f>
        <v>0</v>
      </c>
      <c r="AO58" s="1369">
        <f>Saisies_Exploitation!F196</f>
        <v>0</v>
      </c>
      <c r="AP58" s="1736">
        <f>$AN58*AO58</f>
        <v>0</v>
      </c>
      <c r="AQ58" s="1369">
        <f>Saisies_Exploitation!H196</f>
        <v>0</v>
      </c>
      <c r="AR58" s="1736">
        <f>$AN58*AQ58</f>
        <v>0</v>
      </c>
    </row>
    <row r="59" spans="1:44" x14ac:dyDescent="0.2">
      <c r="A59" s="1483" t="s">
        <v>1413</v>
      </c>
      <c r="B59" s="1917">
        <f>0.00086*(AR61+AR68+AEN_ConcGen3LAuto*SUM(Saisies_Exploitation!D107:D109)+AEN_ConcVLRAuto*EN_NbVaRefLait)</f>
        <v>3.01</v>
      </c>
      <c r="C59" s="1164"/>
      <c r="D59" s="1524" t="s">
        <v>1271</v>
      </c>
      <c r="E59" s="1674"/>
      <c r="F59" s="18"/>
      <c r="G59" s="18"/>
      <c r="H59" s="1532">
        <f t="shared" si="17"/>
        <v>0</v>
      </c>
      <c r="I59" s="1532">
        <f t="shared" si="17"/>
        <v>0</v>
      </c>
      <c r="J59" s="1532">
        <f t="shared" si="17"/>
        <v>0</v>
      </c>
      <c r="K59" s="1"/>
      <c r="L59" s="1498"/>
      <c r="M59" s="1498"/>
      <c r="N59" s="1498"/>
      <c r="O59" s="1498"/>
      <c r="P59" s="1498"/>
      <c r="Q59" s="1498"/>
      <c r="R59" s="1498"/>
      <c r="S59" s="1498"/>
      <c r="T59" s="1498"/>
      <c r="U59" s="1498"/>
      <c r="V59" s="1498"/>
      <c r="W59" s="1498"/>
      <c r="X59" s="1498"/>
      <c r="Y59" s="1498"/>
      <c r="Z59" s="1498"/>
      <c r="AA59" s="1564">
        <f>IF(ISBLANK($F59),0,VLOOKUP($F59,$AG$47:$AI$60,2,FALSE))</f>
        <v>0</v>
      </c>
      <c r="AB59" s="1564">
        <f>IF(ISBLANK($F59),0,VLOOKUP($F59,$AG$47:$AI$60,3,FALSE))</f>
        <v>0</v>
      </c>
      <c r="AC59" s="1681">
        <f>IF(ISBLANK($F59),0,VLOOKUP($F59,$AG$47:$AJ$60,4,FALSE))</f>
        <v>0</v>
      </c>
      <c r="AD59" s="1986">
        <f>IF(ISBLANK($F59),0,VLOOKUP($F59,$AG$47:$AK$60,5,FALSE))</f>
        <v>0</v>
      </c>
      <c r="AE59" s="1337">
        <f t="shared" si="14"/>
        <v>0</v>
      </c>
      <c r="AG59" s="1487" t="s">
        <v>1184</v>
      </c>
      <c r="AH59" s="1526">
        <f>Paramètres!BJ29</f>
        <v>1000</v>
      </c>
      <c r="AI59" s="1526">
        <f>Paramètres!BK29</f>
        <v>35.200000000000003</v>
      </c>
      <c r="AJ59" s="1526">
        <f>Paramètres!BL29</f>
        <v>12</v>
      </c>
      <c r="AK59" s="1526">
        <f>Paramètres!BM29</f>
        <v>11</v>
      </c>
      <c r="AM59" s="1521" t="s">
        <v>2106</v>
      </c>
      <c r="AN59" s="1369">
        <f>Saisies_Exploitation!D79</f>
        <v>0</v>
      </c>
      <c r="AO59" s="1369">
        <f>Saisies_Exploitation!F197</f>
        <v>0</v>
      </c>
      <c r="AP59" s="1736">
        <f t="shared" ref="AP59:AR60" si="18">$AN59*AO59</f>
        <v>0</v>
      </c>
      <c r="AQ59" s="1369">
        <f>Saisies_Exploitation!H197</f>
        <v>0</v>
      </c>
      <c r="AR59" s="1736">
        <f t="shared" si="18"/>
        <v>0</v>
      </c>
    </row>
    <row r="60" spans="1:44" x14ac:dyDescent="0.2">
      <c r="A60" s="1164"/>
      <c r="B60" s="1164"/>
      <c r="C60" s="1164"/>
      <c r="D60" s="1253" t="s">
        <v>1367</v>
      </c>
      <c r="E60" s="1253"/>
      <c r="F60" s="18"/>
      <c r="G60" s="18"/>
      <c r="H60" s="1532">
        <f t="shared" si="17"/>
        <v>0</v>
      </c>
      <c r="I60" s="1532">
        <f t="shared" si="17"/>
        <v>0</v>
      </c>
      <c r="J60" s="1532">
        <f t="shared" si="17"/>
        <v>0</v>
      </c>
      <c r="K60" s="1"/>
      <c r="L60" s="1498"/>
      <c r="M60" s="1806"/>
      <c r="N60" s="1806"/>
      <c r="O60" s="1498"/>
      <c r="P60" s="1498"/>
      <c r="Q60" s="1498"/>
      <c r="R60" s="1498"/>
      <c r="S60" s="1498"/>
      <c r="T60" s="1498"/>
      <c r="U60" s="1498"/>
      <c r="V60" s="1498"/>
      <c r="W60" s="1498"/>
      <c r="X60" s="1498"/>
      <c r="Y60" s="1498"/>
      <c r="Z60" s="1498"/>
      <c r="AA60" s="1564">
        <f>IF(ISBLANK($F60),0,VLOOKUP($F60,$AG$47:$AI$60,2,FALSE))</f>
        <v>0</v>
      </c>
      <c r="AB60" s="1564">
        <f>IF(ISBLANK($F60),0,VLOOKUP($F60,$AG$47:$AI$60,3,FALSE))</f>
        <v>0</v>
      </c>
      <c r="AC60" s="1681">
        <f>IF(ISBLANK($F60),0,VLOOKUP($F60,$AG$47:$AJ$60,4,FALSE))</f>
        <v>0</v>
      </c>
      <c r="AD60" s="1986">
        <f>IF(ISBLANK($F60),0,VLOOKUP($F60,$AG$47:$AK$60,5,FALSE))</f>
        <v>0</v>
      </c>
      <c r="AE60" s="1337">
        <f t="shared" si="14"/>
        <v>0</v>
      </c>
      <c r="AG60" s="1487" t="s">
        <v>1269</v>
      </c>
      <c r="AH60" s="1526">
        <f>Paramètres!BJ30</f>
        <v>1000</v>
      </c>
      <c r="AI60" s="1526">
        <f>Paramètres!BK30</f>
        <v>64</v>
      </c>
      <c r="AJ60" s="1526">
        <f>Paramètres!BL30</f>
        <v>13</v>
      </c>
      <c r="AK60" s="1526">
        <f>Paramètres!BM30</f>
        <v>19</v>
      </c>
      <c r="AM60" s="1521" t="s">
        <v>2107</v>
      </c>
      <c r="AN60" s="1369">
        <f>SUM(Saisies_Exploitation!D84:D87)</f>
        <v>0</v>
      </c>
      <c r="AO60" s="1369">
        <f>Saisies_Exploitation!F198</f>
        <v>0</v>
      </c>
      <c r="AP60" s="1736">
        <f t="shared" si="18"/>
        <v>0</v>
      </c>
      <c r="AQ60" s="1369">
        <f>Saisies_Exploitation!H198</f>
        <v>0</v>
      </c>
      <c r="AR60" s="1736">
        <f t="shared" si="18"/>
        <v>0</v>
      </c>
    </row>
    <row r="61" spans="1:44" ht="12.75" customHeight="1" x14ac:dyDescent="0.25">
      <c r="A61" s="3320" t="s">
        <v>1352</v>
      </c>
      <c r="B61" s="3320"/>
      <c r="C61" s="1692"/>
      <c r="D61" s="1253"/>
      <c r="E61" s="1253"/>
      <c r="F61" s="1"/>
      <c r="G61" s="1"/>
      <c r="H61" s="1"/>
      <c r="I61" s="1"/>
      <c r="J61" s="1"/>
      <c r="K61" s="1"/>
      <c r="L61" s="1498"/>
      <c r="M61" s="1498"/>
      <c r="N61" s="1498"/>
      <c r="O61" s="1498"/>
      <c r="P61" s="1498"/>
      <c r="Q61" s="1498"/>
      <c r="R61" s="1498"/>
      <c r="S61" s="1498"/>
      <c r="T61" s="1498"/>
      <c r="U61" s="1498"/>
      <c r="V61" s="1498"/>
      <c r="W61" s="1498"/>
      <c r="X61" s="1498"/>
      <c r="Y61" s="1498"/>
      <c r="Z61" s="1498"/>
      <c r="AM61" s="1520" t="s">
        <v>2232</v>
      </c>
      <c r="AP61" s="1337">
        <f>SUM(AP58:AP60)</f>
        <v>0</v>
      </c>
      <c r="AR61" s="1337">
        <f>SUM(AR58:AR60)</f>
        <v>0</v>
      </c>
    </row>
    <row r="62" spans="1:44" ht="15" x14ac:dyDescent="0.25">
      <c r="A62" s="3320"/>
      <c r="B62" s="3320"/>
      <c r="C62" s="1692"/>
      <c r="D62" s="3317" t="s">
        <v>1163</v>
      </c>
      <c r="E62" s="3317"/>
      <c r="F62" s="1478" t="s">
        <v>1162</v>
      </c>
      <c r="G62" s="1478" t="s">
        <v>1669</v>
      </c>
      <c r="H62" s="1478" t="s">
        <v>219</v>
      </c>
      <c r="I62" s="1478" t="s">
        <v>625</v>
      </c>
      <c r="J62" s="1478" t="s">
        <v>187</v>
      </c>
      <c r="K62" s="1164"/>
      <c r="L62" s="1498"/>
      <c r="M62" s="1498"/>
      <c r="N62" s="1498"/>
      <c r="O62" s="1498"/>
      <c r="P62" s="1498"/>
      <c r="Q62" s="1498"/>
      <c r="R62" s="1498"/>
      <c r="S62" s="1498"/>
      <c r="T62" s="1498"/>
      <c r="U62" s="1498"/>
      <c r="V62" s="1498"/>
      <c r="W62" s="1498"/>
      <c r="X62" s="1498"/>
      <c r="Y62" s="1498"/>
      <c r="Z62" s="1498"/>
      <c r="AM62" s="1521" t="s">
        <v>2108</v>
      </c>
      <c r="AN62" s="1369">
        <f>EN_NbMalAn1A</f>
        <v>11</v>
      </c>
      <c r="AO62" s="1369">
        <f>Saisies_Exploitation!F200</f>
        <v>200</v>
      </c>
      <c r="AP62" s="1736">
        <f>$AN62*AO62</f>
        <v>2200</v>
      </c>
      <c r="AQ62" s="1369">
        <f>Saisies_Exploitation!H200</f>
        <v>100</v>
      </c>
      <c r="AR62" s="1736">
        <f>$AN62*AQ62</f>
        <v>1100</v>
      </c>
    </row>
    <row r="63" spans="1:44" ht="15" x14ac:dyDescent="0.25">
      <c r="A63" s="1164"/>
      <c r="B63" s="1284" t="s">
        <v>416</v>
      </c>
      <c r="C63" s="1164"/>
      <c r="D63" s="3316" t="s">
        <v>416</v>
      </c>
      <c r="E63" s="3316"/>
      <c r="F63" s="1"/>
      <c r="G63" s="1478" t="s">
        <v>1668</v>
      </c>
      <c r="H63" s="1531"/>
      <c r="I63" s="1531"/>
      <c r="J63" s="1531"/>
      <c r="K63" s="1"/>
      <c r="L63" s="1498"/>
      <c r="M63" s="1498"/>
      <c r="N63" s="1498"/>
      <c r="O63" s="1498"/>
      <c r="P63" s="1498"/>
      <c r="Q63" s="1498"/>
      <c r="R63" s="1498"/>
      <c r="S63" s="1498"/>
      <c r="T63" s="1498"/>
      <c r="U63" s="1498"/>
      <c r="V63" s="1498"/>
      <c r="W63" s="1498"/>
      <c r="X63" s="1498"/>
      <c r="Y63" s="1498"/>
      <c r="Z63" s="1498"/>
      <c r="AA63" s="1529" t="s">
        <v>219</v>
      </c>
      <c r="AB63" s="1529" t="s">
        <v>625</v>
      </c>
      <c r="AC63" s="1529" t="s">
        <v>187</v>
      </c>
      <c r="AD63" s="1951" t="s">
        <v>665</v>
      </c>
      <c r="AE63" s="1960" t="s">
        <v>665</v>
      </c>
      <c r="AM63" s="1521" t="s">
        <v>2109</v>
      </c>
      <c r="AN63" s="1369">
        <f>Saisies_Exploitation!E79</f>
        <v>0</v>
      </c>
      <c r="AO63" s="1369">
        <f>Saisies_Exploitation!F201</f>
        <v>0</v>
      </c>
      <c r="AP63" s="1736">
        <f>$AN63*AO63</f>
        <v>0</v>
      </c>
      <c r="AQ63" s="1369">
        <f>Saisies_Exploitation!H201</f>
        <v>0</v>
      </c>
      <c r="AR63" s="1736">
        <f>$AN63*AQ63</f>
        <v>0</v>
      </c>
    </row>
    <row r="64" spans="1:44" x14ac:dyDescent="0.2">
      <c r="A64" s="1483" t="s">
        <v>244</v>
      </c>
      <c r="B64" s="1917">
        <f>0.00086*ATA_ConcVa*TA_NbVaches</f>
        <v>7.5679999999999996</v>
      </c>
      <c r="C64" s="1483" t="s">
        <v>1355</v>
      </c>
      <c r="D64" s="1524" t="s">
        <v>1165</v>
      </c>
      <c r="E64" s="1253"/>
      <c r="F64" s="18" t="s">
        <v>1188</v>
      </c>
      <c r="G64" s="18">
        <v>5</v>
      </c>
      <c r="H64" s="1532">
        <f t="shared" ref="H64:J66" si="19">$G64*AA64</f>
        <v>5000</v>
      </c>
      <c r="I64" s="1532">
        <f t="shared" si="19"/>
        <v>128</v>
      </c>
      <c r="J64" s="1532">
        <f t="shared" si="19"/>
        <v>50</v>
      </c>
      <c r="K64" s="1"/>
      <c r="L64" s="1498"/>
      <c r="M64" s="1498"/>
      <c r="N64" s="1498"/>
      <c r="O64" s="1498"/>
      <c r="P64" s="1498"/>
      <c r="Q64" s="1498"/>
      <c r="R64" s="1498"/>
      <c r="S64" s="1498"/>
      <c r="T64" s="1498"/>
      <c r="U64" s="1498"/>
      <c r="V64" s="1498"/>
      <c r="W64" s="1498"/>
      <c r="X64" s="1498"/>
      <c r="Y64" s="1498"/>
      <c r="Z64" s="1498"/>
      <c r="AA64" s="1664">
        <f>IF(ISBLANK($F64),0,VLOOKUP($F64,$AG$47:$AI$60,2,FALSE))</f>
        <v>1000</v>
      </c>
      <c r="AB64" s="1664">
        <f>IF(ISBLANK($F64),0,VLOOKUP($F64,$AG$47:$AI$60,3,FALSE))</f>
        <v>25.6</v>
      </c>
      <c r="AC64" s="1681">
        <f>IF(ISBLANK($F64),0,VLOOKUP($F64,$AG$47:$AJ$60,4,FALSE))</f>
        <v>10</v>
      </c>
      <c r="AD64" s="1986">
        <f>IF(ISBLANK($F64),0,VLOOKUP($F64,$AG$47:$AK$60,5,FALSE))</f>
        <v>8</v>
      </c>
      <c r="AE64" s="1337">
        <f>$G64*AD64</f>
        <v>40</v>
      </c>
      <c r="AM64" s="1521" t="s">
        <v>2110</v>
      </c>
      <c r="AN64" s="1369">
        <f>SUM(Saisies_Exploitation!E84:E87)</f>
        <v>0</v>
      </c>
      <c r="AO64" s="1369">
        <f>Saisies_Exploitation!F202</f>
        <v>0</v>
      </c>
      <c r="AP64" s="1736">
        <f>$AN64*AO64</f>
        <v>0</v>
      </c>
      <c r="AQ64" s="1369">
        <f>Saisies_Exploitation!H202</f>
        <v>0</v>
      </c>
      <c r="AR64" s="1736">
        <f>$AN64*AQ64</f>
        <v>0</v>
      </c>
    </row>
    <row r="65" spans="1:44" x14ac:dyDescent="0.2">
      <c r="A65" s="1483" t="s">
        <v>1413</v>
      </c>
      <c r="B65" s="1917">
        <f>0.00086*ATA_ConcVaAuto*TA_NbVaches</f>
        <v>3.7839999999999998</v>
      </c>
      <c r="C65" s="1164"/>
      <c r="D65" s="1253"/>
      <c r="E65" s="1674"/>
      <c r="F65" s="18"/>
      <c r="G65" s="18"/>
      <c r="H65" s="1532">
        <f t="shared" si="19"/>
        <v>0</v>
      </c>
      <c r="I65" s="1532">
        <f t="shared" si="19"/>
        <v>0</v>
      </c>
      <c r="J65" s="1532">
        <f t="shared" si="19"/>
        <v>0</v>
      </c>
      <c r="K65" s="1"/>
      <c r="L65" s="1498"/>
      <c r="M65" s="1498"/>
      <c r="N65" s="1498"/>
      <c r="O65" s="1498"/>
      <c r="P65" s="1498"/>
      <c r="Q65" s="1498"/>
      <c r="R65" s="1498"/>
      <c r="S65" s="1498"/>
      <c r="T65" s="1498"/>
      <c r="U65" s="1498"/>
      <c r="V65" s="1498"/>
      <c r="W65" s="1498"/>
      <c r="X65" s="1498"/>
      <c r="Y65" s="1498"/>
      <c r="Z65" s="1498"/>
      <c r="AA65" s="1664">
        <f>IF(ISBLANK($F65),0,VLOOKUP($F65,$AG$47:$AI$60,2,FALSE))</f>
        <v>0</v>
      </c>
      <c r="AB65" s="1664">
        <f>IF(ISBLANK($F65),0,VLOOKUP($F65,$AG$47:$AI$60,3,FALSE))</f>
        <v>0</v>
      </c>
      <c r="AC65" s="1681">
        <f>IF(ISBLANK($F65),0,VLOOKUP($F65,$AG$47:$AJ$60,4,FALSE))</f>
        <v>0</v>
      </c>
      <c r="AD65" s="1986">
        <f>IF(ISBLANK($F65),0,VLOOKUP($F65,$AG$47:$AK$60,5,FALSE))</f>
        <v>0</v>
      </c>
      <c r="AE65" s="1337">
        <f t="shared" ref="AE65:AE82" si="20">$G65*AD65</f>
        <v>0</v>
      </c>
      <c r="AM65" s="1520" t="s">
        <v>2233</v>
      </c>
      <c r="AP65" s="1337">
        <f>SUM(AP62:AP64)</f>
        <v>2200</v>
      </c>
      <c r="AR65" s="1337">
        <f>SUM(AR62:AR64)</f>
        <v>1100</v>
      </c>
    </row>
    <row r="66" spans="1:44" x14ac:dyDescent="0.2">
      <c r="A66" s="1164"/>
      <c r="B66" s="1164"/>
      <c r="C66" s="1164"/>
      <c r="D66" s="1253"/>
      <c r="E66" s="1253"/>
      <c r="F66" s="18"/>
      <c r="G66" s="18"/>
      <c r="H66" s="1532">
        <f t="shared" si="19"/>
        <v>0</v>
      </c>
      <c r="I66" s="1532">
        <f t="shared" si="19"/>
        <v>0</v>
      </c>
      <c r="J66" s="1532">
        <f t="shared" si="19"/>
        <v>0</v>
      </c>
      <c r="K66" s="1"/>
      <c r="L66" s="1498"/>
      <c r="M66" s="1498"/>
      <c r="N66" s="1498"/>
      <c r="O66" s="1498"/>
      <c r="P66" s="1498"/>
      <c r="Q66" s="1498"/>
      <c r="R66" s="1498"/>
      <c r="S66" s="1498"/>
      <c r="T66" s="1498"/>
      <c r="U66" s="1498"/>
      <c r="V66" s="1498"/>
      <c r="W66" s="1498"/>
      <c r="X66" s="1498"/>
      <c r="Y66" s="1498"/>
      <c r="Z66" s="1498"/>
      <c r="AA66" s="1664">
        <f>IF(ISBLANK($F66),0,VLOOKUP($F66,$AG$47:$AI$60,2,FALSE))</f>
        <v>0</v>
      </c>
      <c r="AB66" s="1664">
        <f>IF(ISBLANK($F66),0,VLOOKUP($F66,$AG$47:$AI$60,3,FALSE))</f>
        <v>0</v>
      </c>
      <c r="AC66" s="1681">
        <f>IF(ISBLANK($F66),0,VLOOKUP($F66,$AG$47:$AJ$60,4,FALSE))</f>
        <v>0</v>
      </c>
      <c r="AD66" s="1986">
        <f>IF(ISBLANK($F66),0,VLOOKUP($F66,$AG$47:$AK$60,5,FALSE))</f>
        <v>0</v>
      </c>
      <c r="AE66" s="1337">
        <f t="shared" si="20"/>
        <v>0</v>
      </c>
      <c r="AM66" s="1521" t="s">
        <v>2217</v>
      </c>
      <c r="AN66" s="1369">
        <f>AN67</f>
        <v>0</v>
      </c>
      <c r="AO66" s="1369">
        <f>AEN_ConcGen1L</f>
        <v>0</v>
      </c>
      <c r="AP66" s="1736">
        <f>$AN66*AO66</f>
        <v>0</v>
      </c>
      <c r="AQ66" s="1369">
        <f>AEN_ConcGen1LAuto</f>
        <v>0</v>
      </c>
      <c r="AR66" s="1736">
        <f>$AN66*AQ66</f>
        <v>0</v>
      </c>
    </row>
    <row r="67" spans="1:44" x14ac:dyDescent="0.2">
      <c r="A67" s="1164"/>
      <c r="B67" s="1164"/>
      <c r="C67" s="1164"/>
      <c r="D67" s="1253"/>
      <c r="E67" s="1253"/>
      <c r="F67" s="1"/>
      <c r="G67" s="1"/>
      <c r="H67" s="1531"/>
      <c r="I67" s="1531"/>
      <c r="J67" s="1531"/>
      <c r="K67" s="1"/>
      <c r="L67" s="1498"/>
      <c r="M67" s="1498"/>
      <c r="N67" s="1498"/>
      <c r="O67" s="1498"/>
      <c r="P67" s="1498"/>
      <c r="Q67" s="1498"/>
      <c r="R67" s="1498"/>
      <c r="S67" s="1498"/>
      <c r="T67" s="1498"/>
      <c r="U67" s="1498"/>
      <c r="V67" s="1498"/>
      <c r="W67" s="1498"/>
      <c r="X67" s="1498"/>
      <c r="Y67" s="1498"/>
      <c r="Z67" s="1498"/>
      <c r="AM67" s="1521" t="s">
        <v>2218</v>
      </c>
      <c r="AN67" s="1369">
        <f>Saisies_Exploitation!D103</f>
        <v>0</v>
      </c>
      <c r="AO67" s="1369">
        <f>AEN_ConcGen2L</f>
        <v>0</v>
      </c>
      <c r="AP67" s="1736">
        <f>$AN67*AO67</f>
        <v>0</v>
      </c>
      <c r="AQ67" s="1369">
        <f>AEN_ConcGen2LAuto</f>
        <v>0</v>
      </c>
      <c r="AR67" s="1736">
        <f>$AN67*AQ67</f>
        <v>0</v>
      </c>
    </row>
    <row r="68" spans="1:44" x14ac:dyDescent="0.2">
      <c r="A68" s="1483" t="s">
        <v>244</v>
      </c>
      <c r="B68" s="1917">
        <f>0.00086*ATA_ConcGen*TA_NbGenAn3</f>
        <v>1.548</v>
      </c>
      <c r="C68" s="1483" t="s">
        <v>1355</v>
      </c>
      <c r="D68" s="1524" t="s">
        <v>1353</v>
      </c>
      <c r="E68" s="1253"/>
      <c r="F68" s="18" t="s">
        <v>1188</v>
      </c>
      <c r="G68" s="18">
        <v>3</v>
      </c>
      <c r="H68" s="1532">
        <f t="shared" ref="H68:J70" si="21">$G68*AA68</f>
        <v>3000</v>
      </c>
      <c r="I68" s="1532">
        <f t="shared" si="21"/>
        <v>76.800000000000011</v>
      </c>
      <c r="J68" s="1532">
        <f t="shared" si="21"/>
        <v>30</v>
      </c>
      <c r="K68" s="1"/>
      <c r="L68" s="1498"/>
      <c r="M68" s="1498"/>
      <c r="N68" s="1498"/>
      <c r="O68" s="1498"/>
      <c r="P68" s="1498"/>
      <c r="Q68" s="1498"/>
      <c r="R68" s="1498"/>
      <c r="S68" s="1498"/>
      <c r="T68" s="1498"/>
      <c r="U68" s="1498"/>
      <c r="V68" s="1498"/>
      <c r="W68" s="1498"/>
      <c r="X68" s="1498"/>
      <c r="Y68" s="1498"/>
      <c r="Z68" s="1498"/>
      <c r="AA68" s="1664">
        <f>IF(ISBLANK($F68),0,VLOOKUP($F68,$AG$47:$AI$60,2,FALSE))</f>
        <v>1000</v>
      </c>
      <c r="AB68" s="1664">
        <f>IF(ISBLANK($F68),0,VLOOKUP($F68,$AG$47:$AI$60,3,FALSE))</f>
        <v>25.6</v>
      </c>
      <c r="AC68" s="1681">
        <f>IF(ISBLANK($F68),0,VLOOKUP($F68,$AG$47:$AJ$60,4,FALSE))</f>
        <v>10</v>
      </c>
      <c r="AD68" s="1986">
        <f>IF(ISBLANK($F68),0,VLOOKUP($F68,$AG$47:$AK$60,5,FALSE))</f>
        <v>8</v>
      </c>
      <c r="AE68" s="1337">
        <f t="shared" si="20"/>
        <v>24</v>
      </c>
      <c r="AM68" s="1520" t="s">
        <v>2234</v>
      </c>
      <c r="AP68" s="1337">
        <f>SUM(AP66:AP67)</f>
        <v>0</v>
      </c>
      <c r="AR68" s="1337">
        <f>SUM(AR66:AR67)</f>
        <v>0</v>
      </c>
    </row>
    <row r="69" spans="1:44" x14ac:dyDescent="0.2">
      <c r="A69" s="1483" t="s">
        <v>1413</v>
      </c>
      <c r="B69" s="1917">
        <f>0.00086*ATA_ConcGenAuto*TA_NbGenAn3</f>
        <v>1.032</v>
      </c>
      <c r="C69" s="1164"/>
      <c r="D69" s="1253"/>
      <c r="E69" s="1674"/>
      <c r="F69" s="18"/>
      <c r="G69" s="18"/>
      <c r="H69" s="1532">
        <f t="shared" si="21"/>
        <v>0</v>
      </c>
      <c r="I69" s="1532">
        <f t="shared" si="21"/>
        <v>0</v>
      </c>
      <c r="J69" s="1532">
        <f t="shared" si="21"/>
        <v>0</v>
      </c>
      <c r="K69" s="1"/>
      <c r="L69" s="1498"/>
      <c r="M69" s="1498"/>
      <c r="N69" s="1498"/>
      <c r="O69" s="1498"/>
      <c r="P69" s="1498"/>
      <c r="Q69" s="1498"/>
      <c r="R69" s="1498"/>
      <c r="S69" s="1498"/>
      <c r="T69" s="1498"/>
      <c r="U69" s="1498"/>
      <c r="V69" s="1498"/>
      <c r="W69" s="1498"/>
      <c r="X69" s="1498"/>
      <c r="Y69" s="1498"/>
      <c r="Z69" s="1498"/>
      <c r="AA69" s="1664">
        <f>IF(ISBLANK($F69),0,VLOOKUP($F69,$AG$47:$AI$60,2,FALSE))</f>
        <v>0</v>
      </c>
      <c r="AB69" s="1664">
        <f>IF(ISBLANK($F69),0,VLOOKUP($F69,$AG$47:$AI$60,3,FALSE))</f>
        <v>0</v>
      </c>
      <c r="AC69" s="1681">
        <f>IF(ISBLANK($F69),0,VLOOKUP($F69,$AG$47:$AJ$60,4,FALSE))</f>
        <v>0</v>
      </c>
      <c r="AD69" s="1986">
        <f>IF(ISBLANK($F69),0,VLOOKUP($F69,$AG$47:$AK$60,5,FALSE))</f>
        <v>0</v>
      </c>
      <c r="AE69" s="1337">
        <f t="shared" si="20"/>
        <v>0</v>
      </c>
      <c r="AM69" s="1521" t="s">
        <v>2219</v>
      </c>
      <c r="AN69" s="1369">
        <f>AN70</f>
        <v>0</v>
      </c>
      <c r="AO69" s="1369">
        <f>AEN_ConcGen1A</f>
        <v>0</v>
      </c>
      <c r="AP69" s="1736">
        <f>$AN69*AO69</f>
        <v>0</v>
      </c>
      <c r="AQ69" s="1369">
        <f>AEN_ConcGen1AAuto</f>
        <v>0</v>
      </c>
      <c r="AR69" s="1736">
        <f>$AN69*AQ69</f>
        <v>0</v>
      </c>
    </row>
    <row r="70" spans="1:44" x14ac:dyDescent="0.2">
      <c r="A70" s="1164"/>
      <c r="B70" s="1164"/>
      <c r="C70" s="1164"/>
      <c r="D70" s="1253"/>
      <c r="E70" s="1253"/>
      <c r="F70" s="18"/>
      <c r="G70" s="18"/>
      <c r="H70" s="1532">
        <f t="shared" si="21"/>
        <v>0</v>
      </c>
      <c r="I70" s="1532">
        <f t="shared" si="21"/>
        <v>0</v>
      </c>
      <c r="J70" s="1532">
        <f t="shared" si="21"/>
        <v>0</v>
      </c>
      <c r="K70" s="1"/>
      <c r="L70" s="1498"/>
      <c r="M70" s="1498"/>
      <c r="N70" s="1498"/>
      <c r="O70" s="1498"/>
      <c r="P70" s="1498"/>
      <c r="Q70" s="1498"/>
      <c r="R70" s="1498"/>
      <c r="S70" s="1498"/>
      <c r="T70" s="1498"/>
      <c r="U70" s="1498"/>
      <c r="V70" s="1498"/>
      <c r="W70" s="1498"/>
      <c r="X70" s="1498"/>
      <c r="Y70" s="1498"/>
      <c r="Z70" s="1498"/>
      <c r="AA70" s="1664">
        <f>IF(ISBLANK($F70),0,VLOOKUP($F70,$AG$47:$AI$60,2,FALSE))</f>
        <v>0</v>
      </c>
      <c r="AB70" s="1664">
        <f>IF(ISBLANK($F70),0,VLOOKUP($F70,$AG$47:$AI$60,3,FALSE))</f>
        <v>0</v>
      </c>
      <c r="AC70" s="1681">
        <f>IF(ISBLANK($F70),0,VLOOKUP($F70,$AG$47:$AJ$60,4,FALSE))</f>
        <v>0</v>
      </c>
      <c r="AD70" s="1986">
        <f>IF(ISBLANK($F70),0,VLOOKUP($F70,$AG$47:$AK$60,5,FALSE))</f>
        <v>0</v>
      </c>
      <c r="AE70" s="1337">
        <f t="shared" si="20"/>
        <v>0</v>
      </c>
      <c r="AM70" s="1521" t="s">
        <v>2220</v>
      </c>
      <c r="AN70" s="1369">
        <f>Saisies_Exploitation!E103</f>
        <v>0</v>
      </c>
      <c r="AO70" s="1369">
        <f>AEN_ConcGen2A</f>
        <v>0</v>
      </c>
      <c r="AP70" s="1736">
        <f>$AN70*AO70</f>
        <v>0</v>
      </c>
      <c r="AQ70" s="1369">
        <f>AEN_ConcGen2AAuto</f>
        <v>0</v>
      </c>
      <c r="AR70" s="1736">
        <f>$AN70*AQ70</f>
        <v>0</v>
      </c>
    </row>
    <row r="71" spans="1:44" x14ac:dyDescent="0.2">
      <c r="A71" s="1164"/>
      <c r="B71" s="1164"/>
      <c r="C71" s="1164"/>
      <c r="D71" s="1253"/>
      <c r="E71" s="1253"/>
      <c r="F71" s="1"/>
      <c r="G71" s="1"/>
      <c r="H71" s="1531"/>
      <c r="I71" s="1531"/>
      <c r="J71" s="1531"/>
      <c r="K71" s="1"/>
      <c r="L71" s="1498"/>
      <c r="M71" s="1498"/>
      <c r="N71" s="1498"/>
      <c r="O71" s="1498"/>
      <c r="P71" s="1498"/>
      <c r="Q71" s="1498"/>
      <c r="R71" s="1498"/>
      <c r="S71" s="1498"/>
      <c r="T71" s="1498"/>
      <c r="U71" s="1498"/>
      <c r="V71" s="1498"/>
      <c r="W71" s="1498"/>
      <c r="X71" s="1498"/>
      <c r="Y71" s="1498"/>
      <c r="Z71" s="1498"/>
      <c r="AM71" s="1520" t="s">
        <v>2235</v>
      </c>
      <c r="AP71" s="1337">
        <f>SUM(AP69:AP70)</f>
        <v>0</v>
      </c>
      <c r="AR71" s="1337">
        <f>SUM(AR69:AR70)</f>
        <v>0</v>
      </c>
    </row>
    <row r="72" spans="1:44" x14ac:dyDescent="0.2">
      <c r="A72" s="1483" t="s">
        <v>244</v>
      </c>
      <c r="B72" s="1917">
        <f>0.00086*ATA_ConcBr*(EN_NbMalAn1A+TA_NbGenAn1)</f>
        <v>3.2507999999999999</v>
      </c>
      <c r="C72" s="1483" t="s">
        <v>1355</v>
      </c>
      <c r="D72" s="1524" t="s">
        <v>1354</v>
      </c>
      <c r="E72" s="1253"/>
      <c r="F72" s="18" t="s">
        <v>1188</v>
      </c>
      <c r="G72" s="18">
        <v>3</v>
      </c>
      <c r="H72" s="1532">
        <f t="shared" ref="H72:J74" si="22">$G72*AA72</f>
        <v>3000</v>
      </c>
      <c r="I72" s="1532">
        <f t="shared" si="22"/>
        <v>76.800000000000011</v>
      </c>
      <c r="J72" s="1532">
        <f t="shared" si="22"/>
        <v>30</v>
      </c>
      <c r="K72" s="1"/>
      <c r="L72" s="1498"/>
      <c r="M72" s="1498"/>
      <c r="N72" s="1498"/>
      <c r="O72" s="1498"/>
      <c r="P72" s="1498"/>
      <c r="Q72" s="1498"/>
      <c r="R72" s="1498"/>
      <c r="S72" s="1498"/>
      <c r="T72" s="1498"/>
      <c r="U72" s="1498"/>
      <c r="V72" s="1498"/>
      <c r="W72" s="1498"/>
      <c r="X72" s="1498"/>
      <c r="Y72" s="1498"/>
      <c r="Z72" s="1498"/>
      <c r="AA72" s="1664">
        <f>IF(ISBLANK($F72),0,VLOOKUP($F72,$AG$47:$AI$60,2,FALSE))</f>
        <v>1000</v>
      </c>
      <c r="AB72" s="1664">
        <f>IF(ISBLANK($F72),0,VLOOKUP($F72,$AG$47:$AI$60,3,FALSE))</f>
        <v>25.6</v>
      </c>
      <c r="AC72" s="1681">
        <f>IF(ISBLANK($F72),0,VLOOKUP($F72,$AG$47:$AJ$60,4,FALSE))</f>
        <v>10</v>
      </c>
      <c r="AD72" s="1986">
        <f>IF(ISBLANK($F72),0,VLOOKUP($F72,$AG$47:$AK$60,5,FALSE))</f>
        <v>8</v>
      </c>
      <c r="AE72" s="1337">
        <f t="shared" si="20"/>
        <v>24</v>
      </c>
    </row>
    <row r="73" spans="1:44" x14ac:dyDescent="0.2">
      <c r="A73" s="1483" t="s">
        <v>1413</v>
      </c>
      <c r="B73" s="1917">
        <f>0.00086*ATA_ConcBrAuto*(EN_NbMalAn1A+TA_NbGenAn1)</f>
        <v>1.8059999999999998</v>
      </c>
      <c r="C73" s="1164"/>
      <c r="D73" s="1253"/>
      <c r="E73" s="1674"/>
      <c r="F73" s="18"/>
      <c r="G73" s="18"/>
      <c r="H73" s="1532">
        <f t="shared" si="22"/>
        <v>0</v>
      </c>
      <c r="I73" s="1532">
        <f t="shared" si="22"/>
        <v>0</v>
      </c>
      <c r="J73" s="1532">
        <f t="shared" si="22"/>
        <v>0</v>
      </c>
      <c r="K73" s="1"/>
      <c r="L73" s="1498"/>
      <c r="M73" s="1498"/>
      <c r="N73" s="1498"/>
      <c r="O73" s="1498"/>
      <c r="P73" s="1498"/>
      <c r="Q73" s="1498"/>
      <c r="R73" s="1498"/>
      <c r="S73" s="1498"/>
      <c r="T73" s="1498"/>
      <c r="U73" s="1498"/>
      <c r="V73" s="1498"/>
      <c r="W73" s="1498"/>
      <c r="X73" s="1498"/>
      <c r="Y73" s="1498"/>
      <c r="Z73" s="1498"/>
      <c r="AA73" s="1664">
        <f>IF(ISBLANK($F73),0,VLOOKUP($F73,$AG$47:$AI$60,2,FALSE))</f>
        <v>0</v>
      </c>
      <c r="AB73" s="1664">
        <f>IF(ISBLANK($F73),0,VLOOKUP($F73,$AG$47:$AI$60,3,FALSE))</f>
        <v>0</v>
      </c>
      <c r="AC73" s="1681">
        <f>IF(ISBLANK($F73),0,VLOOKUP($F73,$AG$47:$AJ$60,4,FALSE))</f>
        <v>0</v>
      </c>
      <c r="AD73" s="1986">
        <f>IF(ISBLANK($F73),0,VLOOKUP($F73,$AG$47:$AK$60,5,FALSE))</f>
        <v>0</v>
      </c>
      <c r="AE73" s="1337">
        <f t="shared" si="20"/>
        <v>0</v>
      </c>
    </row>
    <row r="74" spans="1:44" x14ac:dyDescent="0.2">
      <c r="A74" s="1164"/>
      <c r="B74" s="1164"/>
      <c r="C74" s="1164"/>
      <c r="D74" s="1253"/>
      <c r="E74" s="1253"/>
      <c r="F74" s="18"/>
      <c r="G74" s="18"/>
      <c r="H74" s="1532">
        <f t="shared" si="22"/>
        <v>0</v>
      </c>
      <c r="I74" s="1532">
        <f t="shared" si="22"/>
        <v>0</v>
      </c>
      <c r="J74" s="1532">
        <f t="shared" si="22"/>
        <v>0</v>
      </c>
      <c r="K74" s="1"/>
      <c r="L74" s="1498"/>
      <c r="M74" s="1498"/>
      <c r="N74" s="1498"/>
      <c r="O74" s="1498"/>
      <c r="P74" s="1498"/>
      <c r="Q74" s="1498"/>
      <c r="R74" s="1498"/>
      <c r="S74" s="1498"/>
      <c r="T74" s="1498"/>
      <c r="U74" s="1498"/>
      <c r="V74" s="1498"/>
      <c r="W74" s="1498"/>
      <c r="X74" s="1498"/>
      <c r="Y74" s="1498"/>
      <c r="Z74" s="1498"/>
      <c r="AA74" s="1664">
        <f>IF(ISBLANK($F74),0,VLOOKUP($F74,$AG$47:$AI$60,2,FALSE))</f>
        <v>0</v>
      </c>
      <c r="AB74" s="1664">
        <f>IF(ISBLANK($F74),0,VLOOKUP($F74,$AG$47:$AI$60,3,FALSE))</f>
        <v>0</v>
      </c>
      <c r="AC74" s="1681">
        <f>IF(ISBLANK($F74),0,VLOOKUP($F74,$AG$47:$AJ$60,4,FALSE))</f>
        <v>0</v>
      </c>
      <c r="AD74" s="1986">
        <f>IF(ISBLANK($F74),0,VLOOKUP($F74,$AG$47:$AK$60,5,FALSE))</f>
        <v>0</v>
      </c>
      <c r="AE74" s="1337">
        <f t="shared" si="20"/>
        <v>0</v>
      </c>
    </row>
    <row r="75" spans="1:44" x14ac:dyDescent="0.2">
      <c r="A75" s="1164"/>
      <c r="B75" s="1164"/>
      <c r="C75" s="1164"/>
      <c r="D75" s="1253"/>
      <c r="E75" s="1253"/>
      <c r="F75" s="1"/>
      <c r="G75" s="1"/>
      <c r="H75" s="1531"/>
      <c r="I75" s="1531"/>
      <c r="J75" s="1531"/>
      <c r="K75" s="1"/>
      <c r="L75" s="1498"/>
      <c r="M75" s="1498"/>
      <c r="N75" s="1498"/>
      <c r="O75" s="1498"/>
      <c r="P75" s="1498"/>
      <c r="Q75" s="1498"/>
      <c r="R75" s="1498"/>
      <c r="S75" s="1498"/>
      <c r="T75" s="1498"/>
      <c r="U75" s="1498"/>
      <c r="V75" s="1498"/>
      <c r="W75" s="1498"/>
      <c r="X75" s="1498"/>
      <c r="Y75" s="1498"/>
      <c r="Z75" s="1498"/>
    </row>
    <row r="76" spans="1:44" x14ac:dyDescent="0.2">
      <c r="A76" s="1483" t="s">
        <v>244</v>
      </c>
      <c r="B76" s="1917">
        <f>0.00086*EN_NbTaurilA*AEN_ConcTauV</f>
        <v>0</v>
      </c>
      <c r="C76" s="1483" t="s">
        <v>1355</v>
      </c>
      <c r="D76" s="1524" t="s">
        <v>1357</v>
      </c>
      <c r="E76" s="1253"/>
      <c r="F76" s="18"/>
      <c r="G76" s="18"/>
      <c r="H76" s="1532">
        <f t="shared" ref="H76:J78" si="23">$G76*AA76</f>
        <v>0</v>
      </c>
      <c r="I76" s="1532">
        <f t="shared" si="23"/>
        <v>0</v>
      </c>
      <c r="J76" s="1532">
        <f t="shared" si="23"/>
        <v>0</v>
      </c>
      <c r="K76" s="1"/>
      <c r="L76" s="1498"/>
      <c r="M76" s="1498"/>
      <c r="N76" s="1498"/>
      <c r="O76" s="1498"/>
      <c r="P76" s="1498"/>
      <c r="Q76" s="1498"/>
      <c r="R76" s="1498"/>
      <c r="S76" s="1498"/>
      <c r="T76" s="1498"/>
      <c r="U76" s="1498"/>
      <c r="V76" s="1498"/>
      <c r="W76" s="1498"/>
      <c r="X76" s="1498"/>
      <c r="Y76" s="1498"/>
      <c r="Z76" s="1498"/>
      <c r="AA76" s="1664">
        <f>IF(ISBLANK($F76),0,VLOOKUP($F76,$AG$47:$AI$60,2,FALSE))</f>
        <v>0</v>
      </c>
      <c r="AB76" s="1664">
        <f>IF(ISBLANK($F76),0,VLOOKUP($F76,$AG$47:$AI$60,3,FALSE))</f>
        <v>0</v>
      </c>
      <c r="AC76" s="1681">
        <f>IF(ISBLANK($F76),0,VLOOKUP($F76,$AG$47:$AJ$60,4,FALSE))</f>
        <v>0</v>
      </c>
      <c r="AD76" s="1986">
        <f>IF(ISBLANK($F76),0,VLOOKUP($F76,$AG$47:$AK$60,5,FALSE))</f>
        <v>0</v>
      </c>
      <c r="AE76" s="1337">
        <f t="shared" si="20"/>
        <v>0</v>
      </c>
    </row>
    <row r="77" spans="1:44" x14ac:dyDescent="0.2">
      <c r="A77" s="1483" t="s">
        <v>1413</v>
      </c>
      <c r="B77" s="1917">
        <f>0.00086*EN_NbTaurilA*AEN_ConcTauVAuto</f>
        <v>0</v>
      </c>
      <c r="C77" s="1164"/>
      <c r="D77" s="1524"/>
      <c r="E77" s="1674"/>
      <c r="F77" s="18"/>
      <c r="G77" s="18"/>
      <c r="H77" s="1532">
        <f t="shared" si="23"/>
        <v>0</v>
      </c>
      <c r="I77" s="1532">
        <f t="shared" si="23"/>
        <v>0</v>
      </c>
      <c r="J77" s="1532">
        <f t="shared" si="23"/>
        <v>0</v>
      </c>
      <c r="K77" s="1"/>
      <c r="L77" s="1498"/>
      <c r="M77" s="1498"/>
      <c r="N77" s="1498"/>
      <c r="O77" s="1498"/>
      <c r="P77" s="1498"/>
      <c r="Q77" s="1498"/>
      <c r="R77" s="1498"/>
      <c r="S77" s="1498"/>
      <c r="T77" s="1498"/>
      <c r="U77" s="1498"/>
      <c r="V77" s="1498"/>
      <c r="W77" s="1498"/>
      <c r="X77" s="1498"/>
      <c r="Y77" s="1498"/>
      <c r="Z77" s="1498"/>
      <c r="AA77" s="1664">
        <f>IF(ISBLANK($F77),0,VLOOKUP($F77,$AG$47:$AI$60,2,FALSE))</f>
        <v>0</v>
      </c>
      <c r="AB77" s="1664">
        <f>IF(ISBLANK($F77),0,VLOOKUP($F77,$AG$47:$AI$60,3,FALSE))</f>
        <v>0</v>
      </c>
      <c r="AC77" s="1681">
        <f>IF(ISBLANK($F77),0,VLOOKUP($F77,$AG$47:$AJ$60,4,FALSE))</f>
        <v>0</v>
      </c>
      <c r="AD77" s="1986">
        <f>IF(ISBLANK($F77),0,VLOOKUP($F77,$AG$47:$AK$60,5,FALSE))</f>
        <v>0</v>
      </c>
      <c r="AE77" s="1337">
        <f t="shared" si="20"/>
        <v>0</v>
      </c>
    </row>
    <row r="78" spans="1:44" x14ac:dyDescent="0.2">
      <c r="A78" s="1164"/>
      <c r="B78" s="1164"/>
      <c r="C78" s="1164"/>
      <c r="D78" s="1253"/>
      <c r="E78" s="1253"/>
      <c r="F78" s="18"/>
      <c r="G78" s="18"/>
      <c r="H78" s="1532">
        <f t="shared" si="23"/>
        <v>0</v>
      </c>
      <c r="I78" s="1532">
        <f t="shared" si="23"/>
        <v>0</v>
      </c>
      <c r="J78" s="1532">
        <f t="shared" si="23"/>
        <v>0</v>
      </c>
      <c r="K78" s="1"/>
      <c r="L78" s="1498"/>
      <c r="M78" s="1498"/>
      <c r="N78" s="1498"/>
      <c r="O78" s="1498"/>
      <c r="P78" s="1498"/>
      <c r="Q78" s="1498"/>
      <c r="R78" s="1498"/>
      <c r="S78" s="1498"/>
      <c r="T78" s="1498"/>
      <c r="U78" s="1498"/>
      <c r="V78" s="1498"/>
      <c r="W78" s="1498"/>
      <c r="X78" s="1498"/>
      <c r="Y78" s="1498"/>
      <c r="Z78" s="1498"/>
      <c r="AA78" s="1664">
        <f>IF(ISBLANK($F78),0,VLOOKUP($F78,$AG$47:$AI$60,2,FALSE))</f>
        <v>0</v>
      </c>
      <c r="AB78" s="1664">
        <f>IF(ISBLANK($F78),0,VLOOKUP($F78,$AG$47:$AI$60,3,FALSE))</f>
        <v>0</v>
      </c>
      <c r="AC78" s="1681">
        <f>IF(ISBLANK($F78),0,VLOOKUP($F78,$AG$47:$AJ$60,4,FALSE))</f>
        <v>0</v>
      </c>
      <c r="AD78" s="1986">
        <f>IF(ISBLANK($F78),0,VLOOKUP($F78,$AG$47:$AK$60,5,FALSE))</f>
        <v>0</v>
      </c>
      <c r="AE78" s="1337">
        <f t="shared" si="20"/>
        <v>0</v>
      </c>
    </row>
    <row r="79" spans="1:44" x14ac:dyDescent="0.2">
      <c r="A79" s="1164"/>
      <c r="B79" s="1164"/>
      <c r="C79" s="1164"/>
      <c r="D79" s="1253"/>
      <c r="E79" s="1253"/>
      <c r="F79" s="1"/>
      <c r="G79" s="1"/>
      <c r="H79" s="1531"/>
      <c r="I79" s="1531"/>
      <c r="J79" s="1531"/>
      <c r="K79" s="1"/>
      <c r="L79" s="1498"/>
      <c r="M79" s="1498"/>
      <c r="N79" s="1498"/>
      <c r="O79" s="1498"/>
      <c r="P79" s="1498"/>
      <c r="Q79" s="1498"/>
      <c r="R79" s="1498"/>
      <c r="S79" s="1498"/>
      <c r="T79" s="1498"/>
      <c r="U79" s="1498"/>
      <c r="V79" s="1498"/>
      <c r="W79" s="1498"/>
      <c r="X79" s="1498"/>
      <c r="Y79" s="1498"/>
      <c r="Z79" s="1498"/>
    </row>
    <row r="80" spans="1:44" x14ac:dyDescent="0.2">
      <c r="A80" s="1483" t="s">
        <v>244</v>
      </c>
      <c r="B80" s="1917">
        <f>0.00086*(AP65+AP71+AEN_ConcGen3A*SUM(Saisies_Exploitation!E107:E109)+AEN_ConcVaR*EN_NbVaRefA)</f>
        <v>3.1819999999999999</v>
      </c>
      <c r="C80" s="1483" t="s">
        <v>1355</v>
      </c>
      <c r="D80" s="1524" t="s">
        <v>1270</v>
      </c>
      <c r="E80" s="1253"/>
      <c r="F80" s="18" t="s">
        <v>1178</v>
      </c>
      <c r="G80" s="18">
        <v>3</v>
      </c>
      <c r="H80" s="1532">
        <f t="shared" ref="H80:J82" si="24">$G80*AA80</f>
        <v>3600</v>
      </c>
      <c r="I80" s="1532">
        <f t="shared" si="24"/>
        <v>222</v>
      </c>
      <c r="J80" s="1532">
        <f t="shared" si="24"/>
        <v>42</v>
      </c>
      <c r="K80" s="1"/>
      <c r="L80" s="1498"/>
      <c r="M80" s="1498"/>
      <c r="N80" s="1498"/>
      <c r="O80" s="1498"/>
      <c r="P80" s="1498"/>
      <c r="Q80" s="1498"/>
      <c r="R80" s="1498"/>
      <c r="S80" s="1498"/>
      <c r="T80" s="1498"/>
      <c r="U80" s="1498"/>
      <c r="V80" s="1498"/>
      <c r="W80" s="1498"/>
      <c r="X80" s="1498"/>
      <c r="Y80" s="1498"/>
      <c r="Z80" s="1498"/>
      <c r="AA80" s="1664">
        <f>IF(ISBLANK($F80),0,VLOOKUP($F80,$AG$47:$AI$60,2,FALSE))</f>
        <v>1200</v>
      </c>
      <c r="AB80" s="1664">
        <f>IF(ISBLANK($F80),0,VLOOKUP($F80,$AG$47:$AI$60,3,FALSE))</f>
        <v>74</v>
      </c>
      <c r="AC80" s="1681">
        <f>IF(ISBLANK($F80),0,VLOOKUP($F80,$AG$47:$AJ$60,4,FALSE))</f>
        <v>14</v>
      </c>
      <c r="AD80" s="1986">
        <f>IF(ISBLANK($F80),0,VLOOKUP($F80,$AG$47:$AK$60,5,FALSE))</f>
        <v>25.3</v>
      </c>
      <c r="AE80" s="1337">
        <f t="shared" si="20"/>
        <v>75.900000000000006</v>
      </c>
    </row>
    <row r="81" spans="1:31" x14ac:dyDescent="0.2">
      <c r="A81" s="1483" t="s">
        <v>1413</v>
      </c>
      <c r="B81" s="1917">
        <f>0.00086*(AR65+AR71+AEN_ConcGen3AAuto*SUM(Saisies_Exploitation!E107:E109)+AEN_ConcVaRAuto*EN_NbVaRefA)</f>
        <v>2.0209999999999999</v>
      </c>
      <c r="C81" s="1164"/>
      <c r="D81" s="1524" t="s">
        <v>1271</v>
      </c>
      <c r="E81" s="1674"/>
      <c r="F81" s="18"/>
      <c r="G81" s="18"/>
      <c r="H81" s="1532">
        <f t="shared" si="24"/>
        <v>0</v>
      </c>
      <c r="I81" s="1532">
        <f t="shared" si="24"/>
        <v>0</v>
      </c>
      <c r="J81" s="1532">
        <f t="shared" si="24"/>
        <v>0</v>
      </c>
      <c r="K81" s="1"/>
      <c r="L81" s="1498"/>
      <c r="M81" s="1498"/>
      <c r="N81" s="1498"/>
      <c r="O81" s="1498"/>
      <c r="P81" s="1498"/>
      <c r="Q81" s="1498"/>
      <c r="R81" s="1498"/>
      <c r="S81" s="1498"/>
      <c r="T81" s="1498"/>
      <c r="U81" s="1498"/>
      <c r="V81" s="1498"/>
      <c r="W81" s="1498"/>
      <c r="X81" s="1498"/>
      <c r="Y81" s="1498"/>
      <c r="Z81" s="1498"/>
      <c r="AA81" s="1664">
        <f>IF(ISBLANK($F81),0,VLOOKUP($F81,$AG$47:$AI$60,2,FALSE))</f>
        <v>0</v>
      </c>
      <c r="AB81" s="1664">
        <f>IF(ISBLANK($F81),0,VLOOKUP($F81,$AG$47:$AI$60,3,FALSE))</f>
        <v>0</v>
      </c>
      <c r="AC81" s="1681">
        <f>IF(ISBLANK($F81),0,VLOOKUP($F81,$AG$47:$AJ$60,4,FALSE))</f>
        <v>0</v>
      </c>
      <c r="AD81" s="1986">
        <f>IF(ISBLANK($F81),0,VLOOKUP($F81,$AG$47:$AK$60,5,FALSE))</f>
        <v>0</v>
      </c>
      <c r="AE81" s="1337">
        <f t="shared" si="20"/>
        <v>0</v>
      </c>
    </row>
    <row r="82" spans="1:31" x14ac:dyDescent="0.2">
      <c r="A82" s="1164"/>
      <c r="B82" s="1164"/>
      <c r="C82" s="1164"/>
      <c r="D82" s="1253" t="s">
        <v>1367</v>
      </c>
      <c r="E82" s="1253"/>
      <c r="F82" s="18"/>
      <c r="G82" s="18"/>
      <c r="H82" s="1532">
        <f t="shared" si="24"/>
        <v>0</v>
      </c>
      <c r="I82" s="1532">
        <f t="shared" si="24"/>
        <v>0</v>
      </c>
      <c r="J82" s="1532">
        <f t="shared" si="24"/>
        <v>0</v>
      </c>
      <c r="K82" s="1"/>
      <c r="L82" s="1498"/>
      <c r="M82" s="1806"/>
      <c r="N82" s="1806"/>
      <c r="O82" s="1498"/>
      <c r="P82" s="1498"/>
      <c r="Q82" s="1498"/>
      <c r="R82" s="1498"/>
      <c r="S82" s="1498"/>
      <c r="T82" s="1498"/>
      <c r="U82" s="1498"/>
      <c r="V82" s="1498"/>
      <c r="W82" s="1498"/>
      <c r="X82" s="1498"/>
      <c r="Y82" s="1498"/>
      <c r="Z82" s="1498"/>
      <c r="AA82" s="1664">
        <f>IF(ISBLANK($F82),0,VLOOKUP($F82,$AG$47:$AI$60,2,FALSE))</f>
        <v>0</v>
      </c>
      <c r="AB82" s="1664">
        <f>IF(ISBLANK($F82),0,VLOOKUP($F82,$AG$47:$AI$60,3,FALSE))</f>
        <v>0</v>
      </c>
      <c r="AC82" s="1681">
        <f>IF(ISBLANK($F82),0,VLOOKUP($F82,$AG$47:$AJ$60,4,FALSE))</f>
        <v>0</v>
      </c>
      <c r="AD82" s="1986">
        <f>IF(ISBLANK($F82),0,VLOOKUP($F82,$AG$47:$AK$60,5,FALSE))</f>
        <v>0</v>
      </c>
      <c r="AE82" s="1337">
        <f t="shared" si="20"/>
        <v>0</v>
      </c>
    </row>
    <row r="83" spans="1:31" x14ac:dyDescent="0.2">
      <c r="A83" s="1164"/>
      <c r="B83" s="1164"/>
      <c r="C83" s="1164"/>
      <c r="D83" s="1164"/>
      <c r="E83" s="1164"/>
      <c r="F83" s="1164"/>
      <c r="G83" s="1164"/>
      <c r="H83" s="1164"/>
      <c r="I83" s="1164"/>
      <c r="J83" s="1164"/>
      <c r="K83" s="1164"/>
      <c r="L83" s="1498"/>
      <c r="M83" s="1498"/>
      <c r="N83" s="1498"/>
      <c r="O83" s="1498"/>
      <c r="P83" s="1498"/>
      <c r="Q83" s="1498"/>
      <c r="R83" s="1498"/>
      <c r="S83" s="1498"/>
      <c r="T83" s="1498"/>
      <c r="U83" s="1498"/>
      <c r="V83" s="1498"/>
      <c r="W83" s="1498"/>
      <c r="X83" s="1498"/>
      <c r="Y83" s="1498"/>
      <c r="Z83" s="1498"/>
    </row>
    <row r="84" spans="1:31" x14ac:dyDescent="0.2">
      <c r="A84" s="1164"/>
      <c r="B84" s="1164"/>
      <c r="C84" s="1164"/>
      <c r="D84" s="1164"/>
      <c r="E84" s="1164"/>
      <c r="F84" s="1164"/>
      <c r="G84" s="1164"/>
      <c r="H84" s="1164"/>
      <c r="I84" s="1164"/>
      <c r="J84" s="1164"/>
      <c r="K84" s="1164"/>
      <c r="L84" s="1498"/>
      <c r="M84" s="1498"/>
      <c r="N84" s="1498"/>
      <c r="O84" s="1498"/>
      <c r="P84" s="1498"/>
      <c r="Q84" s="1498"/>
      <c r="R84" s="1498"/>
      <c r="S84" s="1498"/>
      <c r="T84" s="1498"/>
      <c r="U84" s="1498"/>
      <c r="V84" s="1498"/>
      <c r="W84" s="1498"/>
      <c r="X84" s="1498"/>
      <c r="Y84" s="1498"/>
      <c r="Z84" s="1498"/>
    </row>
    <row r="85" spans="1:31" ht="16.5" thickBot="1" x14ac:dyDescent="0.3">
      <c r="A85" s="2448" t="str">
        <f>"Bilan des achats, Troupeau laitier ("&amp;ROUND(Saisies_Exploitation!L124,1)&amp;" UGB)"</f>
        <v>Bilan des achats, Troupeau laitier (81,9 UGB)</v>
      </c>
      <c r="B85" s="2282"/>
      <c r="C85" s="2282"/>
      <c r="D85" s="2282"/>
      <c r="E85" s="2282"/>
      <c r="F85" s="2282"/>
      <c r="G85" s="2282"/>
      <c r="H85" s="2282"/>
      <c r="I85" s="2282"/>
      <c r="J85" s="2282"/>
      <c r="K85" s="2282"/>
      <c r="L85" s="2282"/>
      <c r="M85" s="2282"/>
      <c r="N85" s="2282"/>
      <c r="O85" s="2282"/>
      <c r="P85" s="2282"/>
      <c r="Q85" s="2282"/>
      <c r="R85" s="2282"/>
      <c r="S85" s="2282"/>
      <c r="T85" s="2282"/>
      <c r="U85" s="2282"/>
      <c r="V85" s="2282"/>
      <c r="W85" s="2282"/>
      <c r="X85" s="2282"/>
      <c r="Y85" s="2282"/>
      <c r="Z85" s="2282"/>
    </row>
    <row r="86" spans="1:31" x14ac:dyDescent="0.2">
      <c r="A86" s="2282"/>
      <c r="B86" s="3303" t="s">
        <v>1230</v>
      </c>
      <c r="C86" s="3304"/>
      <c r="D86" s="3304"/>
      <c r="E86" s="2449" t="s">
        <v>1190</v>
      </c>
      <c r="F86" s="2449" t="s">
        <v>1191</v>
      </c>
      <c r="G86" s="2449" t="s">
        <v>1192</v>
      </c>
      <c r="H86" s="3318" t="s">
        <v>1375</v>
      </c>
      <c r="I86" s="3319"/>
      <c r="J86" s="2492"/>
      <c r="K86" s="2282"/>
      <c r="L86" s="2282"/>
      <c r="M86" s="2282"/>
      <c r="N86" s="2282"/>
      <c r="O86" s="2282"/>
      <c r="P86" s="2282"/>
      <c r="Q86" s="2282"/>
      <c r="R86" s="2282"/>
      <c r="S86" s="2282"/>
      <c r="T86" s="2282"/>
      <c r="U86" s="2282"/>
      <c r="V86" s="2282"/>
      <c r="W86" s="2282"/>
      <c r="X86" s="2282"/>
      <c r="Y86" s="2282"/>
      <c r="Z86" s="2282"/>
      <c r="AE86" s="1966" t="s">
        <v>1908</v>
      </c>
    </row>
    <row r="87" spans="1:31" x14ac:dyDescent="0.2">
      <c r="A87" s="2282"/>
      <c r="B87" s="3321" t="s">
        <v>1144</v>
      </c>
      <c r="C87" s="3322"/>
      <c r="D87" s="3322"/>
      <c r="E87" s="2450">
        <f>E89-E88</f>
        <v>0</v>
      </c>
      <c r="F87" s="2451">
        <f>F89-F88</f>
        <v>0</v>
      </c>
      <c r="G87" s="2451">
        <f>G89-G88</f>
        <v>0</v>
      </c>
      <c r="H87" s="3336">
        <f>H89-H88</f>
        <v>0</v>
      </c>
      <c r="I87" s="3337">
        <f>I89-I88</f>
        <v>0</v>
      </c>
      <c r="J87" s="2282"/>
      <c r="K87" s="2282"/>
      <c r="L87" s="2282"/>
      <c r="M87" s="2282"/>
      <c r="N87" s="2282"/>
      <c r="O87" s="2282"/>
      <c r="P87" s="2282"/>
      <c r="Q87" s="2282"/>
      <c r="R87" s="2282"/>
      <c r="S87" s="2282"/>
      <c r="T87" s="2282"/>
      <c r="U87" s="2282"/>
      <c r="V87" s="2282"/>
      <c r="W87" s="2282"/>
      <c r="X87" s="2282"/>
      <c r="Y87" s="2282"/>
      <c r="Z87" s="2282"/>
      <c r="AE87" s="1967">
        <f>AE89-AE88</f>
        <v>0</v>
      </c>
    </row>
    <row r="88" spans="1:31" x14ac:dyDescent="0.2">
      <c r="A88" s="2282"/>
      <c r="B88" s="3321" t="s">
        <v>1359</v>
      </c>
      <c r="C88" s="3322"/>
      <c r="D88" s="3322"/>
      <c r="E88" s="2450">
        <f>SUMIF(Achats!$F6:$F20,Achats!$AG15,Achats!G6:G20)+SUMIF(Achats!$F6:$F20,Achats!$AG16,Achats!G6:G20)</f>
        <v>0</v>
      </c>
      <c r="F88" s="2451">
        <f>SUMIF(Achats!$F6:$F20,Achats!$AG15,Achats!H6:H20)+SUMIF(Achats!$F6:$F20,Achats!$AG16,Achats!H6:H20)</f>
        <v>0</v>
      </c>
      <c r="G88" s="2452">
        <f>SUMIF(Achats!$F6:$F20,Achats!$AG15,Achats!I6:I20)+SUMIF(Achats!$F6:$F20,Achats!$AG16,Achats!I6:I20)</f>
        <v>0</v>
      </c>
      <c r="H88" s="3336">
        <f>SUMIF(Achats!$F6:$F20,Achats!$AG15,Achats!J6:J20)+SUMIF(Achats!$F6:$F20,Achats!$AG16,Achats!J6:J20)</f>
        <v>0</v>
      </c>
      <c r="I88" s="3337">
        <f>SUMIF(Achats!$F6:$F20,Achats!$AG15,Achats!K6:K20)+SUMIF(Achats!$F6:$F20,Achats!$AG16,Achats!K6:K20)</f>
        <v>0</v>
      </c>
      <c r="J88" s="2282"/>
      <c r="K88" s="2282"/>
      <c r="L88" s="2282"/>
      <c r="M88" s="2282"/>
      <c r="N88" s="2282"/>
      <c r="O88" s="2282"/>
      <c r="P88" s="2282"/>
      <c r="Q88" s="2282"/>
      <c r="R88" s="2282"/>
      <c r="S88" s="2282"/>
      <c r="T88" s="2282"/>
      <c r="U88" s="2282"/>
      <c r="V88" s="2282"/>
      <c r="W88" s="2282"/>
      <c r="X88" s="2282"/>
      <c r="Y88" s="2282"/>
      <c r="Z88" s="2282"/>
      <c r="AE88" s="1967">
        <f>SUMIF(Achats!$F6:$F20,Achats!$AG15,Achats!AE6:AE20)+SUMIF(Achats!$F6:$F20,Achats!$AG16,Achats!AE6:AE20)</f>
        <v>0</v>
      </c>
    </row>
    <row r="89" spans="1:31" x14ac:dyDescent="0.2">
      <c r="A89" s="2282"/>
      <c r="B89" s="3323" t="s">
        <v>1231</v>
      </c>
      <c r="C89" s="3324"/>
      <c r="D89" s="3324"/>
      <c r="E89" s="2453">
        <f>SUM(Achats!G6:G20)</f>
        <v>0</v>
      </c>
      <c r="F89" s="2454">
        <f>SUM(Achats!H6:H20)</f>
        <v>0</v>
      </c>
      <c r="G89" s="2454">
        <f>SUM(Achats!I6:I20)</f>
        <v>0</v>
      </c>
      <c r="H89" s="3295">
        <f>SUM(Achats!J6:J20)</f>
        <v>0</v>
      </c>
      <c r="I89" s="3296">
        <f>SUM(Achats!K6:K20)</f>
        <v>0</v>
      </c>
      <c r="J89" s="2282"/>
      <c r="K89" s="2282"/>
      <c r="L89" s="2282"/>
      <c r="M89" s="2282"/>
      <c r="N89" s="2282"/>
      <c r="O89" s="2282"/>
      <c r="P89" s="2282"/>
      <c r="Q89" s="2282"/>
      <c r="R89" s="2282"/>
      <c r="S89" s="2282"/>
      <c r="T89" s="2282"/>
      <c r="U89" s="2282"/>
      <c r="V89" s="2282"/>
      <c r="W89" s="2282"/>
      <c r="X89" s="2282"/>
      <c r="Y89" s="2282"/>
      <c r="Z89" s="2282"/>
      <c r="AE89" s="1968">
        <f>SUM(Achats!AE6:AE20)</f>
        <v>0</v>
      </c>
    </row>
    <row r="90" spans="1:31" x14ac:dyDescent="0.2">
      <c r="A90" s="2282"/>
      <c r="B90" s="3325" t="s">
        <v>1145</v>
      </c>
      <c r="C90" s="3326"/>
      <c r="D90" s="3326"/>
      <c r="E90" s="2455" t="s">
        <v>1190</v>
      </c>
      <c r="F90" s="2455" t="s">
        <v>1191</v>
      </c>
      <c r="G90" s="2455" t="s">
        <v>1192</v>
      </c>
      <c r="H90" s="3297" t="s">
        <v>1375</v>
      </c>
      <c r="I90" s="3298"/>
      <c r="J90" s="2282"/>
      <c r="K90" s="2282"/>
      <c r="L90" s="2282"/>
      <c r="M90" s="2282"/>
      <c r="N90" s="2282"/>
      <c r="O90" s="2282"/>
      <c r="P90" s="2282"/>
      <c r="Q90" s="2282"/>
      <c r="R90" s="2282"/>
      <c r="S90" s="2282"/>
      <c r="T90" s="2282"/>
      <c r="U90" s="2282"/>
      <c r="V90" s="2282"/>
      <c r="W90" s="2282"/>
      <c r="X90" s="2282"/>
      <c r="Y90" s="2282"/>
      <c r="Z90" s="2282"/>
      <c r="AE90" s="1966" t="s">
        <v>1908</v>
      </c>
    </row>
    <row r="91" spans="1:31" x14ac:dyDescent="0.2">
      <c r="A91" s="2282"/>
      <c r="B91" s="3327" t="s">
        <v>1232</v>
      </c>
      <c r="C91" s="3099"/>
      <c r="D91" s="3099"/>
      <c r="E91" s="2453">
        <f>SUM(Achats!G46:G60)</f>
        <v>47</v>
      </c>
      <c r="F91" s="2454">
        <f>SUM(Achats!H46:H60)</f>
        <v>47000</v>
      </c>
      <c r="G91" s="2454">
        <f>SUM(Achats!I46:I60)</f>
        <v>1267.2</v>
      </c>
      <c r="H91" s="3295">
        <f>SUM(Achats!J46:J60)</f>
        <v>490</v>
      </c>
      <c r="I91" s="3296">
        <f>SUM(Achats!K46:K60)</f>
        <v>0</v>
      </c>
      <c r="J91" s="2282"/>
      <c r="K91" s="2282"/>
      <c r="L91" s="2282"/>
      <c r="M91" s="2282"/>
      <c r="N91" s="2282"/>
      <c r="O91" s="2282"/>
      <c r="P91" s="2282"/>
      <c r="Q91" s="2282"/>
      <c r="R91" s="2282"/>
      <c r="S91" s="2282"/>
      <c r="T91" s="2282"/>
      <c r="U91" s="2282"/>
      <c r="V91" s="2282"/>
      <c r="W91" s="2282"/>
      <c r="X91" s="2282"/>
      <c r="Y91" s="2282"/>
      <c r="Z91" s="2282"/>
      <c r="AE91" s="1968">
        <f>SUM(Achats!AE46:AE60)</f>
        <v>416</v>
      </c>
    </row>
    <row r="92" spans="1:31" ht="5.0999999999999996" customHeight="1" x14ac:dyDescent="0.2">
      <c r="A92" s="2282"/>
      <c r="B92" s="2456"/>
      <c r="C92" s="2334"/>
      <c r="D92" s="2334"/>
      <c r="E92" s="2353"/>
      <c r="F92" s="2334"/>
      <c r="G92" s="2334"/>
      <c r="H92" s="3295"/>
      <c r="I92" s="3296"/>
      <c r="J92" s="2282"/>
      <c r="K92" s="2282"/>
      <c r="L92" s="2282"/>
      <c r="M92" s="2282"/>
      <c r="N92" s="2282"/>
      <c r="O92" s="2282"/>
      <c r="P92" s="2282"/>
      <c r="Q92" s="2282"/>
      <c r="R92" s="2282"/>
      <c r="S92" s="2282"/>
      <c r="T92" s="2282"/>
      <c r="U92" s="2282"/>
      <c r="V92" s="2282"/>
      <c r="W92" s="2282"/>
      <c r="X92" s="2282"/>
      <c r="Y92" s="2282"/>
      <c r="Z92" s="2282"/>
      <c r="AE92" s="1968"/>
    </row>
    <row r="93" spans="1:31" x14ac:dyDescent="0.2">
      <c r="A93" s="2282"/>
      <c r="B93" s="3327" t="s">
        <v>1199</v>
      </c>
      <c r="C93" s="3099"/>
      <c r="D93" s="3099"/>
      <c r="E93" s="2453">
        <f>E91+E89</f>
        <v>47</v>
      </c>
      <c r="F93" s="2454">
        <f>F91+F89</f>
        <v>47000</v>
      </c>
      <c r="G93" s="2454">
        <f>G91+G89</f>
        <v>1267.2</v>
      </c>
      <c r="H93" s="3295">
        <f>H91+H89</f>
        <v>490</v>
      </c>
      <c r="I93" s="3296">
        <f>I91+I89</f>
        <v>0</v>
      </c>
      <c r="J93" s="2282"/>
      <c r="K93" s="2282"/>
      <c r="L93" s="2282"/>
      <c r="M93" s="2282"/>
      <c r="N93" s="2282"/>
      <c r="O93" s="2282"/>
      <c r="P93" s="2282"/>
      <c r="Q93" s="2282"/>
      <c r="R93" s="2282"/>
      <c r="S93" s="2282"/>
      <c r="T93" s="2282"/>
      <c r="U93" s="2282"/>
      <c r="V93" s="2282"/>
      <c r="W93" s="2282"/>
      <c r="X93" s="2282"/>
      <c r="Y93" s="2282"/>
      <c r="Z93" s="2282"/>
      <c r="AE93" s="1968">
        <f>AE91+AE89</f>
        <v>416</v>
      </c>
    </row>
    <row r="94" spans="1:31" ht="5.0999999999999996" customHeight="1" x14ac:dyDescent="0.2">
      <c r="A94" s="2282"/>
      <c r="B94" s="2457"/>
      <c r="C94" s="2334"/>
      <c r="D94" s="2334"/>
      <c r="E94" s="2334"/>
      <c r="F94" s="2334"/>
      <c r="G94" s="2334"/>
      <c r="H94" s="2334"/>
      <c r="I94" s="2458"/>
      <c r="J94" s="2282"/>
      <c r="K94" s="2282"/>
      <c r="L94" s="2282"/>
      <c r="M94" s="2282"/>
      <c r="N94" s="2282"/>
      <c r="O94" s="2282"/>
      <c r="P94" s="2282"/>
      <c r="Q94" s="2282"/>
      <c r="R94" s="2282"/>
      <c r="S94" s="2282"/>
      <c r="T94" s="2282"/>
      <c r="U94" s="2282"/>
      <c r="V94" s="2282"/>
      <c r="W94" s="2282"/>
      <c r="X94" s="2282"/>
      <c r="Y94" s="2282"/>
      <c r="Z94" s="2282"/>
    </row>
    <row r="95" spans="1:31" x14ac:dyDescent="0.2">
      <c r="A95" s="2282"/>
      <c r="B95" s="3330" t="s">
        <v>1146</v>
      </c>
      <c r="C95" s="3331"/>
      <c r="D95" s="3331"/>
      <c r="E95" s="3331"/>
      <c r="F95" s="3331"/>
      <c r="G95" s="3331"/>
      <c r="H95" s="3331"/>
      <c r="I95" s="2458"/>
      <c r="J95" s="2282"/>
      <c r="K95" s="2282"/>
      <c r="L95" s="2282"/>
      <c r="M95" s="2282"/>
      <c r="N95" s="2282"/>
      <c r="O95" s="2282"/>
      <c r="P95" s="2282"/>
      <c r="Q95" s="2282"/>
      <c r="R95" s="2282"/>
      <c r="S95" s="2282"/>
      <c r="T95" s="2282"/>
      <c r="U95" s="2282"/>
      <c r="V95" s="2282"/>
      <c r="W95" s="2282"/>
      <c r="X95" s="2282"/>
      <c r="Y95" s="2282"/>
      <c r="Z95" s="2282"/>
    </row>
    <row r="96" spans="1:31" x14ac:dyDescent="0.2">
      <c r="A96" s="2282"/>
      <c r="B96" s="3325" t="s">
        <v>1194</v>
      </c>
      <c r="C96" s="3326"/>
      <c r="D96" s="2459">
        <f>IF(Saisies_Exploitation!L124=0,0,(E89+E91)/Saisies_Exploitation!L124)</f>
        <v>0.57394214728283577</v>
      </c>
      <c r="E96" s="2334"/>
      <c r="F96" s="3505" t="s">
        <v>2473</v>
      </c>
      <c r="G96" s="3500"/>
      <c r="H96" s="3500"/>
      <c r="I96" s="2458"/>
      <c r="J96" s="2282"/>
      <c r="K96" s="2282"/>
      <c r="L96" s="2282"/>
      <c r="M96" s="2282"/>
      <c r="N96" s="2282"/>
      <c r="O96" s="2282"/>
      <c r="P96" s="2282"/>
      <c r="Q96" s="2282"/>
      <c r="R96" s="2282"/>
      <c r="S96" s="2282"/>
      <c r="T96" s="2282"/>
      <c r="U96" s="2282"/>
      <c r="V96" s="2282"/>
      <c r="W96" s="2282"/>
      <c r="X96" s="2282"/>
      <c r="Y96" s="2282"/>
      <c r="Z96" s="2282"/>
    </row>
    <row r="97" spans="1:31" x14ac:dyDescent="0.2">
      <c r="A97" s="2282"/>
      <c r="B97" s="3325" t="s">
        <v>1193</v>
      </c>
      <c r="C97" s="3326"/>
      <c r="D97" s="2451">
        <f>IF(Saisies_Exploitation!L124=0,0,(F89+F91)/Saisies_Exploitation!L124)</f>
        <v>573.94214728283578</v>
      </c>
      <c r="E97" s="2334"/>
      <c r="F97" s="3500"/>
      <c r="G97" s="3500"/>
      <c r="H97" s="3500"/>
      <c r="I97" s="2458"/>
      <c r="J97" s="2282"/>
      <c r="K97" s="2282"/>
      <c r="L97" s="2282"/>
      <c r="M97" s="2282"/>
      <c r="N97" s="2282"/>
      <c r="O97" s="2282"/>
      <c r="P97" s="2282"/>
      <c r="Q97" s="2282"/>
      <c r="R97" s="2282"/>
      <c r="S97" s="2282"/>
      <c r="T97" s="2282"/>
      <c r="U97" s="2282"/>
      <c r="V97" s="2282"/>
      <c r="W97" s="2282"/>
      <c r="X97" s="2282"/>
      <c r="Y97" s="2282"/>
      <c r="Z97" s="2282"/>
    </row>
    <row r="98" spans="1:31" x14ac:dyDescent="0.2">
      <c r="A98" s="2282"/>
      <c r="B98" s="3325" t="s">
        <v>1435</v>
      </c>
      <c r="C98" s="3326"/>
      <c r="D98" s="2451">
        <f>IF(Saisies_Exploitation!L124=0,0,(G89+G91)/Saisies_Exploitation!L124)</f>
        <v>15.474457213549139</v>
      </c>
      <c r="E98" s="2460" t="str">
        <f>IF(D98&gt;28,"de préférence &lt; 28 kg N/UGB, soit 180 kg MAT/UGB","")</f>
        <v/>
      </c>
      <c r="F98" s="3500"/>
      <c r="G98" s="3500"/>
      <c r="H98" s="3500"/>
      <c r="I98" s="2458"/>
      <c r="J98" s="2282"/>
      <c r="K98" s="2282"/>
      <c r="L98" s="2282"/>
      <c r="M98" s="2282"/>
      <c r="N98" s="2282"/>
      <c r="O98" s="2282"/>
      <c r="P98" s="2282"/>
      <c r="Q98" s="2282"/>
      <c r="R98" s="2282"/>
      <c r="S98" s="2282"/>
      <c r="T98" s="2282"/>
      <c r="U98" s="2282"/>
      <c r="V98" s="2282"/>
      <c r="W98" s="2282"/>
      <c r="X98" s="2282"/>
      <c r="Y98" s="2282"/>
      <c r="Z98" s="2282"/>
    </row>
    <row r="99" spans="1:31" x14ac:dyDescent="0.2">
      <c r="A99" s="2282"/>
      <c r="B99" s="3325" t="s">
        <v>1233</v>
      </c>
      <c r="C99" s="3326"/>
      <c r="D99" s="3326"/>
      <c r="E99" s="2461">
        <f>SUM(Achats!H46:H48)/Autonomie!J62</f>
        <v>0.15209048219103125</v>
      </c>
      <c r="F99" s="3500"/>
      <c r="G99" s="3500"/>
      <c r="H99" s="3500"/>
      <c r="I99" s="2458"/>
      <c r="J99" s="2282"/>
      <c r="K99" s="2282"/>
      <c r="L99" s="2282"/>
      <c r="M99" s="2282"/>
      <c r="N99" s="2282"/>
      <c r="O99" s="2282"/>
      <c r="P99" s="2282"/>
      <c r="Q99" s="2282"/>
      <c r="R99" s="2282"/>
      <c r="S99" s="2282"/>
      <c r="T99" s="2282"/>
      <c r="U99" s="2282"/>
      <c r="V99" s="2282"/>
      <c r="W99" s="2282"/>
      <c r="X99" s="2282"/>
      <c r="Y99" s="2282"/>
      <c r="Z99" s="2282"/>
    </row>
    <row r="100" spans="1:31" ht="13.5" thickBot="1" x14ac:dyDescent="0.25">
      <c r="A100" s="2282"/>
      <c r="B100" s="3342" t="s">
        <v>1234</v>
      </c>
      <c r="C100" s="3343"/>
      <c r="D100" s="3343"/>
      <c r="E100" s="2462">
        <f>SUM(Achats!I46:I48)/Autonomie!K62</f>
        <v>0.15366781750488076</v>
      </c>
      <c r="F100" s="3501"/>
      <c r="G100" s="3501"/>
      <c r="H100" s="3501"/>
      <c r="I100" s="2463"/>
      <c r="J100" s="2282"/>
      <c r="K100" s="2282"/>
      <c r="L100" s="2282"/>
      <c r="M100" s="2282"/>
      <c r="N100" s="2282"/>
      <c r="O100" s="2282"/>
      <c r="P100" s="2282"/>
      <c r="Q100" s="2282"/>
      <c r="R100" s="2282"/>
      <c r="S100" s="2282"/>
      <c r="T100" s="2282"/>
      <c r="U100" s="2282"/>
      <c r="V100" s="2282"/>
      <c r="W100" s="2282"/>
      <c r="X100" s="2282"/>
      <c r="Y100" s="2282"/>
      <c r="Z100" s="2282"/>
    </row>
    <row r="101" spans="1:31" x14ac:dyDescent="0.2">
      <c r="A101" s="2282"/>
      <c r="B101" s="2282"/>
      <c r="C101" s="2282"/>
      <c r="D101" s="2282"/>
      <c r="E101" s="2282"/>
      <c r="F101" s="2282"/>
      <c r="G101" s="2282"/>
      <c r="H101" s="2282"/>
      <c r="I101" s="2282"/>
      <c r="J101" s="2282"/>
      <c r="K101" s="2282"/>
      <c r="L101" s="2282"/>
      <c r="M101" s="2282"/>
      <c r="N101" s="2282"/>
      <c r="O101" s="2282"/>
      <c r="P101" s="2282"/>
      <c r="Q101" s="2282"/>
      <c r="R101" s="2282"/>
      <c r="S101" s="2282"/>
      <c r="T101" s="2282"/>
      <c r="U101" s="2282"/>
      <c r="V101" s="2282"/>
      <c r="W101" s="2282"/>
      <c r="X101" s="2282"/>
      <c r="Y101" s="2282"/>
      <c r="Z101" s="2282"/>
    </row>
    <row r="102" spans="1:31" ht="16.5" thickBot="1" x14ac:dyDescent="0.3">
      <c r="A102" s="3344" t="str">
        <f>"Bilan des achats, Troupeau allaitant ("&amp;ROUND(Saisies_Exploitation!M124,1)&amp;" UGB)"</f>
        <v>Bilan des achats, Troupeau allaitant (32,9 UGB)</v>
      </c>
      <c r="B102" s="3344"/>
      <c r="C102" s="3344"/>
      <c r="D102" s="3344"/>
      <c r="E102" s="2282"/>
      <c r="F102" s="2282"/>
      <c r="G102" s="2282"/>
      <c r="H102" s="2282"/>
      <c r="I102" s="2282"/>
      <c r="J102" s="2282"/>
      <c r="K102" s="2282"/>
      <c r="L102" s="2282"/>
      <c r="M102" s="2282"/>
      <c r="N102" s="2282"/>
      <c r="O102" s="2282"/>
      <c r="P102" s="2282"/>
      <c r="Q102" s="2282"/>
      <c r="R102" s="2282"/>
      <c r="S102" s="2282"/>
      <c r="T102" s="2282"/>
      <c r="U102" s="2282"/>
      <c r="V102" s="2282"/>
      <c r="W102" s="2282"/>
      <c r="X102" s="2282"/>
      <c r="Y102" s="2282"/>
      <c r="Z102" s="2282"/>
    </row>
    <row r="103" spans="1:31" x14ac:dyDescent="0.2">
      <c r="A103" s="2282"/>
      <c r="B103" s="3345" t="s">
        <v>1230</v>
      </c>
      <c r="C103" s="3346"/>
      <c r="D103" s="3346"/>
      <c r="E103" s="2464" t="s">
        <v>1190</v>
      </c>
      <c r="F103" s="2464" t="s">
        <v>1191</v>
      </c>
      <c r="G103" s="2464" t="s">
        <v>1192</v>
      </c>
      <c r="H103" s="3332" t="s">
        <v>1375</v>
      </c>
      <c r="I103" s="3333"/>
      <c r="J103" s="2282"/>
      <c r="K103" s="2282"/>
      <c r="L103" s="2282"/>
      <c r="M103" s="2282"/>
      <c r="N103" s="2282"/>
      <c r="O103" s="2282"/>
      <c r="P103" s="2282"/>
      <c r="Q103" s="2282"/>
      <c r="R103" s="2282"/>
      <c r="S103" s="2282"/>
      <c r="T103" s="2282"/>
      <c r="U103" s="2282"/>
      <c r="V103" s="2282"/>
      <c r="W103" s="2282"/>
      <c r="X103" s="2282"/>
      <c r="Y103" s="2282"/>
      <c r="Z103" s="2282"/>
      <c r="AE103" s="1966" t="s">
        <v>1908</v>
      </c>
    </row>
    <row r="104" spans="1:31" x14ac:dyDescent="0.2">
      <c r="A104" s="2282"/>
      <c r="B104" s="3328" t="s">
        <v>1144</v>
      </c>
      <c r="C104" s="3329"/>
      <c r="D104" s="3329"/>
      <c r="E104" s="2465">
        <f>E106-E105</f>
        <v>0</v>
      </c>
      <c r="F104" s="2363">
        <f>F106-F105</f>
        <v>0</v>
      </c>
      <c r="G104" s="2363">
        <f>G106-G105</f>
        <v>0</v>
      </c>
      <c r="H104" s="3334">
        <f>H106-H105</f>
        <v>0</v>
      </c>
      <c r="I104" s="3335">
        <f>I106-I105</f>
        <v>0</v>
      </c>
      <c r="J104" s="2282"/>
      <c r="K104" s="2282"/>
      <c r="L104" s="2282"/>
      <c r="M104" s="2282"/>
      <c r="N104" s="2282"/>
      <c r="O104" s="2282"/>
      <c r="P104" s="2282"/>
      <c r="Q104" s="2282"/>
      <c r="R104" s="2282"/>
      <c r="S104" s="2282"/>
      <c r="T104" s="2282"/>
      <c r="U104" s="2282"/>
      <c r="V104" s="2282"/>
      <c r="W104" s="2282"/>
      <c r="X104" s="2282"/>
      <c r="Y104" s="2282"/>
      <c r="Z104" s="2282"/>
      <c r="AE104" s="1967">
        <f>AE106-AE105</f>
        <v>0</v>
      </c>
    </row>
    <row r="105" spans="1:31" x14ac:dyDescent="0.2">
      <c r="A105" s="2282"/>
      <c r="B105" s="3328" t="s">
        <v>1359</v>
      </c>
      <c r="C105" s="3329"/>
      <c r="D105" s="3329"/>
      <c r="E105" s="2465">
        <f>SUMIF(Achats!$F24:$F42,Achats!$AG15,Achats!G24:G42)+SUMIF(Achats!$F24:$F42,Achats!$AG16,Achats!G24:G42)</f>
        <v>15</v>
      </c>
      <c r="F105" s="2363">
        <f>SUMIF(Achats!$F24:$F42,Achats!$AG15,Achats!H24:H42)+SUMIF(Achats!$F24:$F42,Achats!$AG16,Achats!H24:H42)</f>
        <v>6300</v>
      </c>
      <c r="G105" s="2466">
        <f>SUMIF(Achats!$F24:$F42,Achats!$AG15,Achats!I24:I42)+SUMIF(Achats!$F24:$F42,Achats!$AG16,Achats!I24:I42)</f>
        <v>84</v>
      </c>
      <c r="H105" s="3334">
        <f>SUMIF(Achats!$F24:$F42,Achats!$AG15,Achats!J24:J42)+SUMIF(Achats!$F24:$F42,Achats!$AG16,Achats!J24:J42)</f>
        <v>34.5</v>
      </c>
      <c r="I105" s="3335">
        <f>SUMIF(Achats!$F24:$F42,Achats!$AG15,Achats!K24:K42)+SUMIF(Achats!$F24:$F42,Achats!$AG16,Achats!K24:K42)</f>
        <v>0</v>
      </c>
      <c r="J105" s="2282"/>
      <c r="K105" s="2282"/>
      <c r="L105" s="2282"/>
      <c r="M105" s="2282"/>
      <c r="N105" s="2282"/>
      <c r="O105" s="2282"/>
      <c r="P105" s="2282"/>
      <c r="Q105" s="2282"/>
      <c r="R105" s="2282"/>
      <c r="S105" s="2282"/>
      <c r="T105" s="2282"/>
      <c r="U105" s="2282"/>
      <c r="V105" s="2282"/>
      <c r="W105" s="2282"/>
      <c r="X105" s="2282"/>
      <c r="Y105" s="2282"/>
      <c r="Z105" s="2282"/>
      <c r="AE105" s="1967">
        <f>SUMIF(Achats!$F24:$F42,Achats!$AG15,Achats!AE24:AE42)+SUMIF(Achats!$F24:$F42,Achats!$AG16,Achats!AE24:AE42)</f>
        <v>195</v>
      </c>
    </row>
    <row r="106" spans="1:31" x14ac:dyDescent="0.2">
      <c r="A106" s="2282"/>
      <c r="B106" s="3338" t="s">
        <v>1231</v>
      </c>
      <c r="C106" s="3339"/>
      <c r="D106" s="3339"/>
      <c r="E106" s="2467">
        <f>SUM(Achats!G24:G42)</f>
        <v>15</v>
      </c>
      <c r="F106" s="2468">
        <f>SUM(Achats!H24:H42)</f>
        <v>6300</v>
      </c>
      <c r="G106" s="2468">
        <f>SUM(Achats!I24:I42)</f>
        <v>84</v>
      </c>
      <c r="H106" s="3293">
        <f>SUM(Achats!J24:J42)</f>
        <v>34.5</v>
      </c>
      <c r="I106" s="3294">
        <f>SUM(Achats!K24:K42)</f>
        <v>0</v>
      </c>
      <c r="J106" s="2282"/>
      <c r="K106" s="2282"/>
      <c r="L106" s="2282"/>
      <c r="M106" s="2282"/>
      <c r="N106" s="2282"/>
      <c r="O106" s="2282"/>
      <c r="P106" s="2282"/>
      <c r="Q106" s="2282"/>
      <c r="R106" s="2282"/>
      <c r="S106" s="2282"/>
      <c r="T106" s="2282"/>
      <c r="U106" s="2282"/>
      <c r="V106" s="2282"/>
      <c r="W106" s="2282"/>
      <c r="X106" s="2282"/>
      <c r="Y106" s="2282"/>
      <c r="Z106" s="2282"/>
      <c r="AE106" s="1968">
        <f>SUM(Achats!AE24:AE42)</f>
        <v>195</v>
      </c>
    </row>
    <row r="107" spans="1:31" x14ac:dyDescent="0.2">
      <c r="A107" s="2282"/>
      <c r="B107" s="3307" t="s">
        <v>1145</v>
      </c>
      <c r="C107" s="3308"/>
      <c r="D107" s="3308"/>
      <c r="E107" s="2469" t="s">
        <v>1190</v>
      </c>
      <c r="F107" s="2469" t="s">
        <v>1191</v>
      </c>
      <c r="G107" s="2469" t="s">
        <v>1192</v>
      </c>
      <c r="H107" s="3340" t="s">
        <v>1375</v>
      </c>
      <c r="I107" s="3341"/>
      <c r="J107" s="2282"/>
      <c r="K107" s="2282"/>
      <c r="L107" s="2282"/>
      <c r="M107" s="2282"/>
      <c r="N107" s="2282"/>
      <c r="O107" s="2282"/>
      <c r="P107" s="2282"/>
      <c r="Q107" s="2282"/>
      <c r="R107" s="2282"/>
      <c r="S107" s="2282"/>
      <c r="T107" s="2282"/>
      <c r="U107" s="2282"/>
      <c r="V107" s="2282"/>
      <c r="W107" s="2282"/>
      <c r="X107" s="2282"/>
      <c r="Y107" s="2282"/>
      <c r="Z107" s="2282"/>
      <c r="AE107" s="1966" t="s">
        <v>1908</v>
      </c>
    </row>
    <row r="108" spans="1:31" x14ac:dyDescent="0.2">
      <c r="A108" s="2282"/>
      <c r="B108" s="3305" t="s">
        <v>1232</v>
      </c>
      <c r="C108" s="3306"/>
      <c r="D108" s="3306"/>
      <c r="E108" s="2467">
        <f>SUM(Achats!G64:G82)</f>
        <v>14</v>
      </c>
      <c r="F108" s="2468">
        <f>SUM(Achats!H64:H82)</f>
        <v>14600</v>
      </c>
      <c r="G108" s="2468">
        <f>SUM(Achats!I64:I82)</f>
        <v>503.6</v>
      </c>
      <c r="H108" s="3313">
        <f>SUM(Achats!J64:J82)</f>
        <v>152</v>
      </c>
      <c r="I108" s="3314">
        <f>SUM(Achats!K64:K82)</f>
        <v>0</v>
      </c>
      <c r="J108" s="2282"/>
      <c r="K108" s="2282"/>
      <c r="L108" s="2282"/>
      <c r="M108" s="2282"/>
      <c r="N108" s="2282"/>
      <c r="O108" s="2282"/>
      <c r="P108" s="2282"/>
      <c r="Q108" s="2282"/>
      <c r="R108" s="2282"/>
      <c r="S108" s="2282"/>
      <c r="T108" s="2282"/>
      <c r="U108" s="2282"/>
      <c r="V108" s="2282"/>
      <c r="W108" s="2282"/>
      <c r="X108" s="2282"/>
      <c r="Y108" s="2282"/>
      <c r="Z108" s="2282"/>
      <c r="AE108" s="1969">
        <f>SUM(Achats!AE64:AE82)</f>
        <v>163.9</v>
      </c>
    </row>
    <row r="109" spans="1:31" ht="5.0999999999999996" customHeight="1" x14ac:dyDescent="0.2">
      <c r="A109" s="2282"/>
      <c r="B109" s="2470"/>
      <c r="C109" s="2377"/>
      <c r="D109" s="2377"/>
      <c r="E109" s="2378"/>
      <c r="F109" s="2377"/>
      <c r="G109" s="2377"/>
      <c r="H109" s="3311"/>
      <c r="I109" s="3312"/>
      <c r="J109" s="2282"/>
      <c r="K109" s="2282"/>
      <c r="L109" s="2282"/>
      <c r="M109" s="2282"/>
      <c r="N109" s="2282"/>
      <c r="O109" s="2282"/>
      <c r="P109" s="2282"/>
      <c r="Q109" s="2282"/>
      <c r="R109" s="2282"/>
      <c r="S109" s="2282"/>
      <c r="T109" s="2282"/>
      <c r="U109" s="2282"/>
      <c r="V109" s="2282"/>
      <c r="W109" s="2282"/>
      <c r="X109" s="2282"/>
      <c r="Y109" s="2282"/>
      <c r="Z109" s="2282"/>
      <c r="AE109" s="1970"/>
    </row>
    <row r="110" spans="1:31" x14ac:dyDescent="0.2">
      <c r="A110" s="2282"/>
      <c r="B110" s="3305" t="s">
        <v>1199</v>
      </c>
      <c r="C110" s="3306"/>
      <c r="D110" s="3306"/>
      <c r="E110" s="2467">
        <f>E108+E106</f>
        <v>29</v>
      </c>
      <c r="F110" s="2468">
        <f>F108+F106</f>
        <v>20900</v>
      </c>
      <c r="G110" s="2468">
        <f>G108+G106</f>
        <v>587.6</v>
      </c>
      <c r="H110" s="3293">
        <f>H108+H106</f>
        <v>186.5</v>
      </c>
      <c r="I110" s="3294">
        <f>I108+I106</f>
        <v>0</v>
      </c>
      <c r="J110" s="2282"/>
      <c r="K110" s="2282"/>
      <c r="L110" s="2282"/>
      <c r="M110" s="2282"/>
      <c r="N110" s="2282"/>
      <c r="O110" s="2282"/>
      <c r="P110" s="2282"/>
      <c r="Q110" s="2282"/>
      <c r="R110" s="2282"/>
      <c r="S110" s="2282"/>
      <c r="T110" s="2282"/>
      <c r="U110" s="2282"/>
      <c r="V110" s="2282"/>
      <c r="W110" s="2282"/>
      <c r="X110" s="2282"/>
      <c r="Y110" s="2282"/>
      <c r="Z110" s="2282"/>
      <c r="AE110" s="1968">
        <f>AE108+AE106</f>
        <v>358.9</v>
      </c>
    </row>
    <row r="111" spans="1:31" ht="5.0999999999999996" customHeight="1" x14ac:dyDescent="0.2">
      <c r="A111" s="2282"/>
      <c r="B111" s="2471"/>
      <c r="C111" s="2377"/>
      <c r="D111" s="2377"/>
      <c r="E111" s="2377"/>
      <c r="F111" s="2377"/>
      <c r="G111" s="2377"/>
      <c r="H111" s="2377"/>
      <c r="I111" s="2472"/>
      <c r="J111" s="2282"/>
      <c r="K111" s="2282"/>
      <c r="L111" s="2282"/>
      <c r="M111" s="2282"/>
      <c r="N111" s="2282"/>
      <c r="O111" s="2282"/>
      <c r="P111" s="2282"/>
      <c r="Q111" s="2282"/>
      <c r="R111" s="2282"/>
      <c r="S111" s="2282"/>
      <c r="T111" s="2282"/>
      <c r="U111" s="2282"/>
      <c r="V111" s="2282"/>
      <c r="W111" s="2282"/>
      <c r="X111" s="2282"/>
      <c r="Y111" s="2282"/>
      <c r="Z111" s="2282"/>
    </row>
    <row r="112" spans="1:31" x14ac:dyDescent="0.2">
      <c r="A112" s="2282"/>
      <c r="B112" s="3309" t="s">
        <v>1146</v>
      </c>
      <c r="C112" s="3310"/>
      <c r="D112" s="3310"/>
      <c r="E112" s="3310"/>
      <c r="F112" s="3310"/>
      <c r="G112" s="3310"/>
      <c r="H112" s="3310"/>
      <c r="I112" s="2472"/>
      <c r="J112" s="2282"/>
      <c r="K112" s="2282"/>
      <c r="L112" s="2282"/>
      <c r="M112" s="2282"/>
      <c r="N112" s="2282"/>
      <c r="O112" s="2282"/>
      <c r="P112" s="2282"/>
      <c r="Q112" s="2282"/>
      <c r="R112" s="2282"/>
      <c r="S112" s="2282"/>
      <c r="T112" s="2282"/>
      <c r="U112" s="2282"/>
      <c r="V112" s="2282"/>
      <c r="W112" s="2282"/>
      <c r="X112" s="2282"/>
      <c r="Y112" s="2282"/>
      <c r="Z112" s="2282"/>
    </row>
    <row r="113" spans="1:26" x14ac:dyDescent="0.2">
      <c r="A113" s="2282"/>
      <c r="B113" s="3307" t="s">
        <v>1194</v>
      </c>
      <c r="C113" s="3308"/>
      <c r="D113" s="2473">
        <f>IF(Saisies_Exploitation!M124=0,0,(E106+E108)/Saisies_Exploitation!M124)</f>
        <v>0.88145896656534961</v>
      </c>
      <c r="E113" s="2381"/>
      <c r="F113" s="3504" t="s">
        <v>2473</v>
      </c>
      <c r="G113" s="3502"/>
      <c r="H113" s="3502"/>
      <c r="I113" s="2472"/>
      <c r="J113" s="2282"/>
      <c r="K113" s="2282"/>
      <c r="L113" s="2282"/>
      <c r="M113" s="2282"/>
      <c r="N113" s="2282"/>
      <c r="O113" s="2282"/>
      <c r="P113" s="2282"/>
      <c r="Q113" s="2282"/>
      <c r="R113" s="2282"/>
      <c r="S113" s="2282"/>
      <c r="T113" s="2282"/>
      <c r="U113" s="2282"/>
      <c r="V113" s="2282"/>
      <c r="W113" s="2282"/>
      <c r="X113" s="2282"/>
      <c r="Y113" s="2282"/>
      <c r="Z113" s="2282"/>
    </row>
    <row r="114" spans="1:26" x14ac:dyDescent="0.2">
      <c r="A114" s="2282"/>
      <c r="B114" s="3307" t="s">
        <v>1193</v>
      </c>
      <c r="C114" s="3308"/>
      <c r="D114" s="2363">
        <f>IF(Saisies_Exploitation!M124=0,0,(F106+F108)/Saisies_Exploitation!M124)</f>
        <v>635.258358662614</v>
      </c>
      <c r="E114" s="2381"/>
      <c r="F114" s="3502"/>
      <c r="G114" s="3502"/>
      <c r="H114" s="3502"/>
      <c r="I114" s="2472"/>
      <c r="J114" s="2282"/>
      <c r="K114" s="2282"/>
      <c r="L114" s="2282"/>
      <c r="M114" s="2282"/>
      <c r="N114" s="2282"/>
      <c r="O114" s="2282"/>
      <c r="P114" s="2282"/>
      <c r="Q114" s="2282"/>
      <c r="R114" s="2282"/>
      <c r="S114" s="2282"/>
      <c r="T114" s="2282"/>
      <c r="U114" s="2282"/>
      <c r="V114" s="2282"/>
      <c r="W114" s="2282"/>
      <c r="X114" s="2282"/>
      <c r="Y114" s="2282"/>
      <c r="Z114" s="2282"/>
    </row>
    <row r="115" spans="1:26" x14ac:dyDescent="0.2">
      <c r="A115" s="2282"/>
      <c r="B115" s="3307" t="s">
        <v>1435</v>
      </c>
      <c r="C115" s="3308"/>
      <c r="D115" s="2363">
        <f>IF(Saisies_Exploitation!M124=0,0,(G106+G108)/Saisies_Exploitation!M124)</f>
        <v>17.86018237082067</v>
      </c>
      <c r="E115" s="2474" t="str">
        <f>IF(D115&gt;24,"de préférence &lt; 24 kg N/UGB, soit 150 kg MAT/UGB","")</f>
        <v/>
      </c>
      <c r="F115" s="3502"/>
      <c r="G115" s="3502"/>
      <c r="H115" s="3502"/>
      <c r="I115" s="2472"/>
      <c r="J115" s="2282"/>
      <c r="K115" s="2282"/>
      <c r="L115" s="2282"/>
      <c r="M115" s="2282"/>
      <c r="N115" s="2282"/>
      <c r="O115" s="2282"/>
      <c r="P115" s="2282"/>
      <c r="Q115" s="2282"/>
      <c r="R115" s="2282"/>
      <c r="S115" s="2282"/>
      <c r="T115" s="2282"/>
      <c r="U115" s="2282"/>
      <c r="V115" s="2282"/>
      <c r="W115" s="2282"/>
      <c r="X115" s="2282"/>
      <c r="Y115" s="2282"/>
      <c r="Z115" s="2282"/>
    </row>
    <row r="116" spans="1:26" x14ac:dyDescent="0.2">
      <c r="A116" s="2282"/>
      <c r="B116" s="2475" t="s">
        <v>1666</v>
      </c>
      <c r="C116" s="2381"/>
      <c r="D116" s="2363"/>
      <c r="E116" s="2476">
        <f>F110/SUM(Autonomie!J71:J75,Autonomie!AF79:AF101)</f>
        <v>0.15478041916611124</v>
      </c>
      <c r="F116" s="3502"/>
      <c r="G116" s="3502"/>
      <c r="H116" s="3502"/>
      <c r="I116" s="2472"/>
      <c r="J116" s="2282"/>
      <c r="K116" s="2282"/>
      <c r="L116" s="2282"/>
      <c r="M116" s="2282"/>
      <c r="N116" s="2282"/>
      <c r="O116" s="2282"/>
      <c r="P116" s="2282"/>
      <c r="Q116" s="2282"/>
      <c r="R116" s="2282"/>
      <c r="S116" s="2282"/>
      <c r="T116" s="2282"/>
      <c r="U116" s="2282"/>
      <c r="V116" s="2282"/>
      <c r="W116" s="2282"/>
      <c r="X116" s="2282"/>
      <c r="Y116" s="2282"/>
      <c r="Z116" s="2282"/>
    </row>
    <row r="117" spans="1:26" ht="13.5" thickBot="1" x14ac:dyDescent="0.25">
      <c r="A117" s="2282"/>
      <c r="B117" s="2477" t="s">
        <v>1667</v>
      </c>
      <c r="C117" s="2478"/>
      <c r="D117" s="2479"/>
      <c r="E117" s="2480">
        <f>G110/SUM(Autonomie!K71:K75,Autonomie!AH79:AH101)</f>
        <v>0.14203529127386996</v>
      </c>
      <c r="F117" s="3503"/>
      <c r="G117" s="3503"/>
      <c r="H117" s="3503"/>
      <c r="I117" s="2481"/>
      <c r="J117" s="2282"/>
      <c r="K117" s="2282"/>
      <c r="L117" s="2282"/>
      <c r="M117" s="2282"/>
      <c r="N117" s="2282"/>
      <c r="O117" s="2282"/>
      <c r="P117" s="2282"/>
      <c r="Q117" s="2282"/>
      <c r="R117" s="2282"/>
      <c r="S117" s="2282"/>
      <c r="T117" s="2282"/>
      <c r="U117" s="2282"/>
      <c r="V117" s="2282"/>
      <c r="W117" s="2282"/>
      <c r="X117" s="2282"/>
      <c r="Y117" s="2282"/>
      <c r="Z117" s="2282"/>
    </row>
    <row r="118" spans="1:26" x14ac:dyDescent="0.2">
      <c r="A118" s="2282"/>
      <c r="B118" s="2282"/>
      <c r="C118" s="2282"/>
      <c r="D118" s="2282"/>
      <c r="E118" s="2282"/>
      <c r="F118" s="2282"/>
      <c r="G118" s="2282"/>
      <c r="H118" s="2282"/>
      <c r="I118" s="2282"/>
      <c r="J118" s="2282"/>
      <c r="K118" s="2282"/>
      <c r="L118" s="2282"/>
      <c r="M118" s="2282"/>
      <c r="N118" s="2282"/>
      <c r="O118" s="2282"/>
      <c r="P118" s="2282"/>
      <c r="Q118" s="2282"/>
      <c r="R118" s="2282"/>
      <c r="S118" s="2282"/>
      <c r="T118" s="2282"/>
      <c r="U118" s="2282"/>
      <c r="V118" s="2282"/>
      <c r="W118" s="2282"/>
      <c r="X118" s="2282"/>
      <c r="Y118" s="2282"/>
      <c r="Z118" s="2282"/>
    </row>
    <row r="119" spans="1:26" ht="16.5" thickBot="1" x14ac:dyDescent="0.3">
      <c r="A119" s="2448" t="str">
        <f>"Bilan des achats, Troupeau total ("&amp;ROUND(Saisies_Exploitation!N124,1)&amp;" UGB)"</f>
        <v>Bilan des achats, Troupeau total (114,8 UGB)</v>
      </c>
      <c r="B119" s="2282"/>
      <c r="C119" s="2282"/>
      <c r="D119" s="2282"/>
      <c r="E119" s="2282"/>
      <c r="F119" s="2282"/>
      <c r="G119" s="2282"/>
      <c r="H119" s="2282"/>
      <c r="I119" s="2282"/>
      <c r="J119" s="2282"/>
      <c r="K119" s="2282"/>
      <c r="L119" s="2282"/>
      <c r="M119" s="2282"/>
      <c r="N119" s="2282"/>
      <c r="O119" s="2282"/>
      <c r="P119" s="2282"/>
      <c r="Q119" s="2282"/>
      <c r="R119" s="2282"/>
      <c r="S119" s="2282"/>
      <c r="T119" s="2282"/>
      <c r="U119" s="2282"/>
      <c r="V119" s="2282"/>
      <c r="W119" s="2282"/>
      <c r="X119" s="2282"/>
      <c r="Y119" s="2282"/>
      <c r="Z119" s="2282"/>
    </row>
    <row r="120" spans="1:26" x14ac:dyDescent="0.2">
      <c r="A120" s="2282"/>
      <c r="B120" s="3303" t="s">
        <v>1195</v>
      </c>
      <c r="C120" s="3304"/>
      <c r="D120" s="2482">
        <f>Autonomie!H55/Ugb_Tot</f>
        <v>5.5941823627978993</v>
      </c>
      <c r="E120" s="2483" t="s">
        <v>1194</v>
      </c>
      <c r="F120" s="2482">
        <f>(E93+E110)/Ugb_Tot</f>
        <v>0.6620798087263049</v>
      </c>
      <c r="G120" s="2483" t="s">
        <v>1198</v>
      </c>
      <c r="H120" s="2482">
        <f>D120+F120</f>
        <v>6.2562621715242042</v>
      </c>
      <c r="I120" s="2484"/>
      <c r="J120" s="2282"/>
      <c r="K120" s="2282"/>
      <c r="L120" s="2282"/>
      <c r="M120" s="2282"/>
      <c r="N120" s="2282"/>
      <c r="O120" s="2282"/>
      <c r="P120" s="2282"/>
      <c r="Q120" s="2282"/>
      <c r="R120" s="2282"/>
      <c r="S120" s="2282"/>
      <c r="T120" s="2282"/>
      <c r="U120" s="2282"/>
      <c r="V120" s="2282"/>
      <c r="W120" s="2282"/>
      <c r="X120" s="2282"/>
      <c r="Y120" s="2282"/>
      <c r="Z120" s="2282"/>
    </row>
    <row r="121" spans="1:26" x14ac:dyDescent="0.2">
      <c r="A121" s="2282"/>
      <c r="B121" s="2352" t="s">
        <v>1196</v>
      </c>
      <c r="C121" s="2485"/>
      <c r="D121" s="2451">
        <f>Autonomie!J55/Ugb_Tot</f>
        <v>4714.9978732138088</v>
      </c>
      <c r="E121" s="2486" t="s">
        <v>1376</v>
      </c>
      <c r="F121" s="2451">
        <f>(F93+F110)/Ugb_Tot</f>
        <v>591.51603963836976</v>
      </c>
      <c r="G121" s="2486" t="s">
        <v>1147</v>
      </c>
      <c r="H121" s="2451">
        <f>D121+F121</f>
        <v>5306.5139128521787</v>
      </c>
      <c r="I121" s="2458"/>
      <c r="J121" s="2282"/>
      <c r="K121" s="2282"/>
      <c r="L121" s="2282"/>
      <c r="M121" s="2282"/>
      <c r="N121" s="2282"/>
      <c r="O121" s="2282"/>
      <c r="P121" s="2282"/>
      <c r="Q121" s="2282"/>
      <c r="R121" s="2282"/>
      <c r="S121" s="2282"/>
      <c r="T121" s="2282"/>
      <c r="U121" s="2282"/>
      <c r="V121" s="2282"/>
      <c r="W121" s="2282"/>
      <c r="X121" s="2282"/>
      <c r="Y121" s="2282"/>
      <c r="Z121" s="2282"/>
    </row>
    <row r="122" spans="1:26" x14ac:dyDescent="0.2">
      <c r="A122" s="2282"/>
      <c r="B122" s="2352" t="s">
        <v>1197</v>
      </c>
      <c r="C122" s="2485"/>
      <c r="D122" s="2451">
        <f>Autonomie!K55/Ugb_Tot</f>
        <v>116.26117085445699</v>
      </c>
      <c r="E122" s="2486" t="s">
        <v>1377</v>
      </c>
      <c r="F122" s="2451">
        <f>(G93+G110)/Ugb_Tot</f>
        <v>16.158231963494085</v>
      </c>
      <c r="G122" s="2486" t="s">
        <v>1406</v>
      </c>
      <c r="H122" s="2451">
        <f>D122+F122</f>
        <v>132.41940281795107</v>
      </c>
      <c r="I122" s="2458"/>
      <c r="J122" s="2282"/>
      <c r="K122" s="2282"/>
      <c r="L122" s="2282"/>
      <c r="M122" s="2282"/>
      <c r="N122" s="2282"/>
      <c r="O122" s="2282"/>
      <c r="P122" s="2282"/>
      <c r="Q122" s="2282"/>
      <c r="R122" s="2282"/>
      <c r="S122" s="2282"/>
      <c r="T122" s="2282"/>
      <c r="U122" s="2282"/>
      <c r="V122" s="2282"/>
      <c r="W122" s="2282"/>
      <c r="X122" s="2282"/>
      <c r="Y122" s="2282"/>
      <c r="Z122" s="2282"/>
    </row>
    <row r="123" spans="1:26" x14ac:dyDescent="0.2">
      <c r="A123" s="2282"/>
      <c r="B123" s="2487" t="s">
        <v>1361</v>
      </c>
      <c r="C123" s="2488"/>
      <c r="D123" s="2461">
        <f>(F93+F110)/Autonomie!J107</f>
        <v>0.13638609580467845</v>
      </c>
      <c r="E123" s="2486" t="s">
        <v>1299</v>
      </c>
      <c r="F123" s="2334"/>
      <c r="G123" s="2334"/>
      <c r="H123" s="2334"/>
      <c r="I123" s="2458"/>
      <c r="J123" s="2282"/>
      <c r="K123" s="2282"/>
      <c r="L123" s="2282"/>
      <c r="M123" s="2282"/>
      <c r="N123" s="2282"/>
      <c r="O123" s="2282"/>
      <c r="P123" s="2282"/>
      <c r="Q123" s="2282"/>
      <c r="R123" s="2282"/>
      <c r="S123" s="2282"/>
      <c r="T123" s="2282"/>
      <c r="U123" s="2282"/>
      <c r="V123" s="2282"/>
      <c r="W123" s="2282"/>
      <c r="X123" s="2282"/>
      <c r="Y123" s="2282"/>
      <c r="Z123" s="2282"/>
    </row>
    <row r="124" spans="1:26" x14ac:dyDescent="0.2">
      <c r="A124" s="2282"/>
      <c r="B124" s="2487" t="s">
        <v>1298</v>
      </c>
      <c r="C124" s="2488"/>
      <c r="D124" s="2461">
        <f>(G93+G110)/Autonomie!K107</f>
        <v>0.12795070906066239</v>
      </c>
      <c r="E124" s="2486" t="s">
        <v>1299</v>
      </c>
      <c r="F124" s="2334"/>
      <c r="G124" s="2334"/>
      <c r="H124" s="2334"/>
      <c r="I124" s="2458"/>
      <c r="J124" s="2282"/>
      <c r="K124" s="2282"/>
      <c r="L124" s="2282"/>
      <c r="M124" s="2282"/>
      <c r="N124" s="2282"/>
      <c r="O124" s="2282"/>
      <c r="P124" s="2282"/>
      <c r="Q124" s="2282"/>
      <c r="R124" s="2282"/>
      <c r="S124" s="2282"/>
      <c r="T124" s="2282"/>
      <c r="U124" s="2282"/>
      <c r="V124" s="2282"/>
      <c r="W124" s="2282"/>
      <c r="X124" s="2282"/>
      <c r="Y124" s="2282"/>
      <c r="Z124" s="2282"/>
    </row>
    <row r="125" spans="1:26" x14ac:dyDescent="0.2">
      <c r="A125" s="2282"/>
      <c r="B125" s="2489" t="s">
        <v>1688</v>
      </c>
      <c r="C125" s="2334"/>
      <c r="D125" s="2334"/>
      <c r="E125" s="2334"/>
      <c r="F125" s="2334"/>
      <c r="G125" s="2334"/>
      <c r="H125" s="2334"/>
      <c r="I125" s="2458"/>
      <c r="J125" s="2282"/>
      <c r="K125" s="2282"/>
      <c r="L125" s="2282"/>
      <c r="M125" s="2282"/>
      <c r="N125" s="2282"/>
      <c r="O125" s="2282"/>
      <c r="P125" s="2282"/>
      <c r="Q125" s="2282"/>
      <c r="R125" s="2282"/>
      <c r="S125" s="2282"/>
      <c r="T125" s="2282"/>
      <c r="U125" s="2282"/>
      <c r="V125" s="2282"/>
      <c r="W125" s="2282"/>
      <c r="X125" s="2282"/>
      <c r="Y125" s="2282"/>
      <c r="Z125" s="2282"/>
    </row>
    <row r="126" spans="1:26" ht="12.75" customHeight="1" x14ac:dyDescent="0.2">
      <c r="A126" s="2282"/>
      <c r="B126" s="2490" t="s">
        <v>1415</v>
      </c>
      <c r="C126" s="2334"/>
      <c r="D126" s="2450" t="str">
        <f>ROUND((E93+E110)/Autonomie!H130,1)&amp;" ha"</f>
        <v>10,7 ha</v>
      </c>
      <c r="E126" s="3299" t="s">
        <v>1665</v>
      </c>
      <c r="F126" s="3299"/>
      <c r="G126" s="3299" t="s">
        <v>2304</v>
      </c>
      <c r="H126" s="3299"/>
      <c r="I126" s="3300"/>
      <c r="J126" s="2282"/>
      <c r="K126" s="2282"/>
      <c r="L126" s="2282"/>
      <c r="M126" s="2282"/>
      <c r="N126" s="2282"/>
      <c r="O126" s="2282"/>
      <c r="P126" s="2282"/>
      <c r="Q126" s="2282"/>
      <c r="R126" s="2282"/>
      <c r="S126" s="2282"/>
      <c r="T126" s="2282"/>
      <c r="U126" s="2282"/>
      <c r="V126" s="2282"/>
      <c r="W126" s="2282"/>
      <c r="X126" s="2282"/>
      <c r="Y126" s="2282"/>
      <c r="Z126" s="2282"/>
    </row>
    <row r="127" spans="1:26" x14ac:dyDescent="0.2">
      <c r="A127" s="2282"/>
      <c r="B127" s="2490" t="s">
        <v>1421</v>
      </c>
      <c r="C127" s="2334"/>
      <c r="D127" s="2450" t="str">
        <f>ROUND((F93+F110)/Autonomie!J130,1)&amp;" ha"</f>
        <v>11,3 ha</v>
      </c>
      <c r="E127" s="3299"/>
      <c r="F127" s="3299"/>
      <c r="G127" s="3299"/>
      <c r="H127" s="3299"/>
      <c r="I127" s="3300"/>
      <c r="J127" s="2282"/>
      <c r="K127" s="2282"/>
      <c r="L127" s="2282"/>
      <c r="M127" s="2282"/>
      <c r="N127" s="2282"/>
      <c r="O127" s="2282"/>
      <c r="P127" s="2282"/>
      <c r="Q127" s="2282"/>
      <c r="R127" s="2282"/>
      <c r="S127" s="2282"/>
      <c r="T127" s="2282"/>
      <c r="U127" s="2282"/>
      <c r="V127" s="2282"/>
      <c r="W127" s="2282"/>
      <c r="X127" s="2282"/>
      <c r="Y127" s="2282"/>
      <c r="Z127" s="2282"/>
    </row>
    <row r="128" spans="1:26" x14ac:dyDescent="0.2">
      <c r="A128" s="2282"/>
      <c r="B128" s="2490" t="s">
        <v>1416</v>
      </c>
      <c r="C128" s="2334"/>
      <c r="D128" s="2450" t="str">
        <f>ROUND((G93+G110)/Autonomie!K130,1)&amp;" ha"</f>
        <v>12,5 ha</v>
      </c>
      <c r="E128" s="3299"/>
      <c r="F128" s="3299"/>
      <c r="G128" s="3299"/>
      <c r="H128" s="3299"/>
      <c r="I128" s="3300"/>
      <c r="J128" s="2282"/>
      <c r="K128" s="2282"/>
      <c r="L128" s="2282"/>
      <c r="M128" s="2282"/>
      <c r="N128" s="2282"/>
      <c r="O128" s="2282"/>
      <c r="P128" s="2282"/>
      <c r="Q128" s="2282"/>
      <c r="R128" s="2282"/>
      <c r="S128" s="2282"/>
      <c r="T128" s="2282"/>
      <c r="U128" s="2282"/>
      <c r="V128" s="2282"/>
      <c r="W128" s="2282"/>
      <c r="X128" s="2282"/>
      <c r="Y128" s="2282"/>
      <c r="Z128" s="2282"/>
    </row>
    <row r="129" spans="1:26" ht="13.5" thickBot="1" x14ac:dyDescent="0.25">
      <c r="A129" s="2282"/>
      <c r="B129" s="2491"/>
      <c r="C129" s="2355"/>
      <c r="D129" s="2355"/>
      <c r="E129" s="2355"/>
      <c r="F129" s="2355"/>
      <c r="G129" s="3301"/>
      <c r="H129" s="3301"/>
      <c r="I129" s="3302"/>
      <c r="J129" s="2282"/>
      <c r="K129" s="2282"/>
      <c r="L129" s="2282"/>
      <c r="M129" s="2282"/>
      <c r="N129" s="2282"/>
      <c r="O129" s="2282"/>
      <c r="P129" s="2282"/>
      <c r="Q129" s="2282"/>
      <c r="R129" s="2282"/>
      <c r="S129" s="2282"/>
      <c r="T129" s="2282"/>
      <c r="U129" s="2282"/>
      <c r="V129" s="2282"/>
      <c r="W129" s="2282"/>
      <c r="X129" s="2282"/>
      <c r="Y129" s="2282"/>
      <c r="Z129" s="2282"/>
    </row>
    <row r="130" spans="1:26" x14ac:dyDescent="0.2">
      <c r="A130" s="2282"/>
      <c r="B130" s="2282"/>
      <c r="C130" s="2282"/>
      <c r="D130" s="2282"/>
      <c r="E130" s="2282"/>
      <c r="F130" s="2282"/>
      <c r="G130" s="2282"/>
      <c r="H130" s="2282"/>
      <c r="I130" s="2282"/>
      <c r="J130" s="2282"/>
      <c r="K130" s="2282"/>
      <c r="L130" s="2282"/>
      <c r="M130" s="2282"/>
      <c r="N130" s="2282"/>
      <c r="O130" s="2282"/>
      <c r="P130" s="2282"/>
      <c r="Q130" s="2282"/>
      <c r="R130" s="2282"/>
      <c r="S130" s="2282"/>
      <c r="T130" s="2282"/>
      <c r="U130" s="2282"/>
      <c r="V130" s="2282"/>
      <c r="W130" s="2282"/>
      <c r="X130" s="2282"/>
      <c r="Y130" s="2282"/>
      <c r="Z130" s="2282"/>
    </row>
    <row r="131" spans="1:26" x14ac:dyDescent="0.2">
      <c r="A131" s="2282"/>
      <c r="B131" s="2282"/>
      <c r="C131" s="2282"/>
      <c r="D131" s="2282"/>
      <c r="E131" s="2282"/>
      <c r="F131" s="2282"/>
      <c r="G131" s="2282"/>
      <c r="H131" s="2282"/>
      <c r="I131" s="2282"/>
      <c r="J131" s="2282"/>
      <c r="K131" s="2282"/>
      <c r="L131" s="2282"/>
      <c r="M131" s="2282"/>
      <c r="N131" s="2282"/>
      <c r="O131" s="2282"/>
      <c r="P131" s="2282"/>
      <c r="Q131" s="2282"/>
      <c r="R131" s="2282"/>
      <c r="S131" s="2282"/>
      <c r="T131" s="2282"/>
      <c r="U131" s="2282"/>
      <c r="V131" s="2282"/>
      <c r="W131" s="2282"/>
      <c r="X131" s="2282"/>
      <c r="Y131" s="2282"/>
      <c r="Z131" s="2282"/>
    </row>
    <row r="132" spans="1:26" x14ac:dyDescent="0.2">
      <c r="A132" s="2282"/>
      <c r="B132" s="2282"/>
      <c r="C132" s="2282"/>
      <c r="D132" s="2282"/>
      <c r="E132" s="2282"/>
      <c r="F132" s="2282"/>
      <c r="G132" s="2282"/>
      <c r="H132" s="2282"/>
      <c r="I132" s="2282"/>
      <c r="J132" s="2282"/>
      <c r="K132" s="2282"/>
      <c r="L132" s="2282"/>
      <c r="M132" s="2282"/>
      <c r="N132" s="2282"/>
      <c r="O132" s="2282"/>
      <c r="P132" s="2282"/>
      <c r="Q132" s="2282"/>
      <c r="R132" s="2282"/>
      <c r="S132" s="2282"/>
      <c r="T132" s="2282"/>
      <c r="U132" s="2282"/>
      <c r="V132" s="2282"/>
      <c r="W132" s="2282"/>
      <c r="X132" s="2282"/>
      <c r="Y132" s="2282"/>
      <c r="Z132" s="2282"/>
    </row>
  </sheetData>
  <sheetProtection algorithmName="SHA-512" hashValue="JyvBVnMjaj/xNCnYXTtIgEB1hdpMVVTlgyZ0Z5yPePVPRfMAgQxAfHXpGmMwZQ8dO+4HbdYbfDbYFL+zNTqj2w==" saltValue="BMGVm68GXaiVOeBwOSYsXw==" spinCount="100000" sheet="1" objects="1" scenarios="1"/>
  <mergeCells count="52">
    <mergeCell ref="H87:I87"/>
    <mergeCell ref="H88:I88"/>
    <mergeCell ref="B105:D105"/>
    <mergeCell ref="B106:D106"/>
    <mergeCell ref="B107:D107"/>
    <mergeCell ref="H92:I92"/>
    <mergeCell ref="H93:I93"/>
    <mergeCell ref="B93:D93"/>
    <mergeCell ref="B96:C96"/>
    <mergeCell ref="B97:C97"/>
    <mergeCell ref="B98:C98"/>
    <mergeCell ref="H107:I107"/>
    <mergeCell ref="B99:D99"/>
    <mergeCell ref="B100:D100"/>
    <mergeCell ref="A102:D102"/>
    <mergeCell ref="B103:D103"/>
    <mergeCell ref="B104:D104"/>
    <mergeCell ref="B95:H95"/>
    <mergeCell ref="H103:I103"/>
    <mergeCell ref="H104:I104"/>
    <mergeCell ref="H105:I105"/>
    <mergeCell ref="F96:H100"/>
    <mergeCell ref="B87:D87"/>
    <mergeCell ref="B88:D88"/>
    <mergeCell ref="B89:D89"/>
    <mergeCell ref="B90:D90"/>
    <mergeCell ref="B91:D91"/>
    <mergeCell ref="D44:E44"/>
    <mergeCell ref="D45:E45"/>
    <mergeCell ref="D62:E62"/>
    <mergeCell ref="D63:E63"/>
    <mergeCell ref="H86:I86"/>
    <mergeCell ref="B86:D86"/>
    <mergeCell ref="A43:B44"/>
    <mergeCell ref="A61:B62"/>
    <mergeCell ref="B120:C120"/>
    <mergeCell ref="B108:D108"/>
    <mergeCell ref="B110:D110"/>
    <mergeCell ref="B113:C113"/>
    <mergeCell ref="B114:C114"/>
    <mergeCell ref="B115:C115"/>
    <mergeCell ref="B112:H112"/>
    <mergeCell ref="H109:I109"/>
    <mergeCell ref="H110:I110"/>
    <mergeCell ref="H108:I108"/>
    <mergeCell ref="F113:H117"/>
    <mergeCell ref="H106:I106"/>
    <mergeCell ref="H89:I89"/>
    <mergeCell ref="H90:I90"/>
    <mergeCell ref="H91:I91"/>
    <mergeCell ref="E126:F128"/>
    <mergeCell ref="G126:I129"/>
  </mergeCells>
  <conditionalFormatting sqref="D98">
    <cfRule type="cellIs" dxfId="51" priority="2" operator="greaterThan">
      <formula>28</formula>
    </cfRule>
  </conditionalFormatting>
  <conditionalFormatting sqref="D115">
    <cfRule type="cellIs" dxfId="50" priority="1" operator="greaterThan">
      <formula>24</formula>
    </cfRule>
  </conditionalFormatting>
  <dataValidations count="2">
    <dataValidation type="list" allowBlank="1" showInputMessage="1" showErrorMessage="1" sqref="F6:F8 F10:F12 F14:F16 F18:F20 F24:F26 F28:F30 F32:F34 F36:F38 F40:F42">
      <formula1>$AG$6:$AG$16</formula1>
    </dataValidation>
    <dataValidation type="list" allowBlank="1" showInputMessage="1" showErrorMessage="1" sqref="F46:F48 F50:F52 F54:F56 F58:F60 F64:F66 F68:F70 F80:F82 F72:F74 F76:F78">
      <formula1>$AG$47:$AG$60</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55" r:id="rId4" name="Button 15">
              <controlPr defaultSize="0" print="0" autoFill="0" autoPict="0" macro="[0]!Efface_Achats">
                <anchor moveWithCells="1" sizeWithCells="1">
                  <from>
                    <xdr:col>4</xdr:col>
                    <xdr:colOff>1162050</xdr:colOff>
                    <xdr:row>0</xdr:row>
                    <xdr:rowOff>9525</xdr:rowOff>
                  </from>
                  <to>
                    <xdr:col>9</xdr:col>
                    <xdr:colOff>247650</xdr:colOff>
                    <xdr:row>2</xdr:row>
                    <xdr:rowOff>66675</xdr:rowOff>
                  </to>
                </anchor>
              </controlPr>
            </control>
          </mc:Choice>
        </mc:AlternateContent>
        <mc:AlternateContent xmlns:mc="http://schemas.openxmlformats.org/markup-compatibility/2006">
          <mc:Choice Requires="x14">
            <control shapeId="87056" r:id="rId5" name="Button 16">
              <controlPr defaultSize="0" print="0" autoFill="0" autoPict="0" macro="[0]!Retour_Presentation">
                <anchor moveWithCells="1" sizeWithCells="1">
                  <from>
                    <xdr:col>9</xdr:col>
                    <xdr:colOff>476250</xdr:colOff>
                    <xdr:row>0</xdr:row>
                    <xdr:rowOff>0</xdr:rowOff>
                  </from>
                  <to>
                    <xdr:col>11</xdr:col>
                    <xdr:colOff>600075</xdr:colOff>
                    <xdr:row>3</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0">
    <tabColor theme="4" tint="0.39997558519241921"/>
  </sheetPr>
  <dimension ref="A1:BZ283"/>
  <sheetViews>
    <sheetView workbookViewId="0">
      <selection activeCell="A152" sqref="A152:G152"/>
    </sheetView>
  </sheetViews>
  <sheetFormatPr baseColWidth="10" defaultRowHeight="12.75" x14ac:dyDescent="0.2"/>
  <cols>
    <col min="1" max="1" width="19" customWidth="1"/>
    <col min="2" max="2" width="15.5703125" customWidth="1"/>
    <col min="3" max="3" width="17.28515625" customWidth="1"/>
    <col min="4" max="4" width="21.85546875" customWidth="1"/>
    <col min="5" max="5" width="17.140625" customWidth="1"/>
    <col min="6" max="6" width="17.5703125" customWidth="1"/>
    <col min="7" max="7" width="18.42578125" customWidth="1"/>
    <col min="9" max="26" width="9.140625" customWidth="1"/>
    <col min="27" max="27" width="29.140625" hidden="1" customWidth="1"/>
    <col min="28" max="28" width="12.140625" hidden="1" customWidth="1"/>
    <col min="29" max="29" width="15.42578125" hidden="1" customWidth="1"/>
    <col min="30" max="30" width="9" hidden="1" customWidth="1"/>
    <col min="31" max="31" width="8.42578125" hidden="1" customWidth="1"/>
    <col min="32" max="32" width="11" hidden="1" customWidth="1"/>
    <col min="33" max="33" width="27.5703125" hidden="1" customWidth="1"/>
    <col min="34" max="34" width="5.28515625" hidden="1" customWidth="1"/>
    <col min="35" max="35" width="15.42578125" hidden="1" customWidth="1"/>
    <col min="36" max="36" width="6" hidden="1" customWidth="1"/>
    <col min="37" max="37" width="4.5703125" hidden="1" customWidth="1"/>
    <col min="38" max="38" width="16.140625" hidden="1" customWidth="1"/>
    <col min="39" max="40" width="11.42578125" hidden="1" customWidth="1"/>
    <col min="41" max="41" width="5.42578125" hidden="1" customWidth="1"/>
    <col min="42" max="42" width="14" hidden="1" customWidth="1"/>
    <col min="43" max="43" width="8.42578125" hidden="1" customWidth="1"/>
    <col min="44" max="44" width="11" hidden="1" customWidth="1"/>
    <col min="45" max="45" width="11.42578125" hidden="1" customWidth="1"/>
    <col min="46" max="46" width="14.5703125" hidden="1" customWidth="1"/>
    <col min="47" max="47" width="8.42578125" hidden="1" customWidth="1"/>
    <col min="48" max="48" width="11" hidden="1" customWidth="1"/>
    <col min="49" max="78" width="11.42578125" hidden="1" customWidth="1"/>
  </cols>
  <sheetData>
    <row r="1" spans="1:26" s="32" customFormat="1" ht="18" x14ac:dyDescent="0.2">
      <c r="A1" s="3387" t="s">
        <v>1119</v>
      </c>
      <c r="B1" s="3387"/>
      <c r="C1" s="3387"/>
      <c r="D1" s="3387"/>
      <c r="E1" s="3387"/>
      <c r="F1" s="3387"/>
      <c r="G1" s="2171"/>
      <c r="H1" s="2493"/>
      <c r="I1" s="2171"/>
      <c r="J1" s="2171"/>
      <c r="K1" s="2171"/>
      <c r="L1" s="2171"/>
      <c r="M1" s="2171"/>
      <c r="N1" s="2171"/>
      <c r="O1" s="2171"/>
      <c r="P1" s="2171"/>
      <c r="Q1" s="2171"/>
      <c r="R1" s="2171"/>
      <c r="S1" s="2171"/>
      <c r="T1" s="2171"/>
      <c r="U1" s="2171"/>
      <c r="V1" s="2171"/>
      <c r="W1" s="2171"/>
      <c r="X1" s="2171"/>
      <c r="Y1" s="2171"/>
      <c r="Z1" s="2171"/>
    </row>
    <row r="2" spans="1:26" x14ac:dyDescent="0.2">
      <c r="A2" s="2494"/>
      <c r="B2" s="2494"/>
      <c r="C2" s="2494"/>
      <c r="D2" s="2494"/>
      <c r="E2" s="2494"/>
      <c r="F2" s="2494"/>
      <c r="G2" s="2282"/>
      <c r="H2" s="2495"/>
      <c r="I2" s="2282"/>
      <c r="J2" s="2282"/>
      <c r="K2" s="2282"/>
      <c r="L2" s="2282"/>
      <c r="M2" s="2282"/>
      <c r="N2" s="2282"/>
      <c r="O2" s="2282"/>
      <c r="P2" s="2282"/>
      <c r="Q2" s="2282"/>
      <c r="R2" s="2282"/>
      <c r="S2" s="2282"/>
      <c r="T2" s="2282"/>
      <c r="U2" s="2282"/>
      <c r="V2" s="2282"/>
      <c r="W2" s="2282"/>
      <c r="X2" s="2282"/>
      <c r="Y2" s="2282"/>
      <c r="Z2" s="2282"/>
    </row>
    <row r="3" spans="1:26" ht="15" x14ac:dyDescent="0.25">
      <c r="A3" s="3370" t="s">
        <v>1598</v>
      </c>
      <c r="B3" s="3370"/>
      <c r="C3" s="3370"/>
      <c r="D3" s="3370"/>
      <c r="E3" s="3370"/>
      <c r="F3" s="3370"/>
      <c r="G3" s="3370"/>
      <c r="H3" s="2495"/>
      <c r="I3" s="2282"/>
      <c r="J3" s="2282"/>
      <c r="K3" s="2282"/>
      <c r="L3" s="2282"/>
      <c r="M3" s="2282"/>
      <c r="N3" s="2282"/>
      <c r="O3" s="2282"/>
      <c r="P3" s="2282"/>
      <c r="Q3" s="2282"/>
      <c r="R3" s="2282"/>
      <c r="S3" s="2282"/>
      <c r="T3" s="2282"/>
      <c r="U3" s="2282"/>
      <c r="V3" s="2282"/>
      <c r="W3" s="2282"/>
      <c r="X3" s="2282"/>
      <c r="Y3" s="2282"/>
      <c r="Z3" s="2282"/>
    </row>
    <row r="4" spans="1:26" s="2" customFormat="1" ht="30" customHeight="1" x14ac:dyDescent="0.2">
      <c r="A4" s="3359" t="s">
        <v>1690</v>
      </c>
      <c r="B4" s="3359"/>
      <c r="C4" s="3359"/>
      <c r="D4" s="3359"/>
      <c r="E4" s="3359"/>
      <c r="F4" s="3359"/>
      <c r="G4" s="3359"/>
      <c r="H4" s="2496"/>
      <c r="I4" s="2497"/>
      <c r="J4" s="2497"/>
      <c r="K4" s="2497"/>
      <c r="L4" s="2497"/>
      <c r="M4" s="2497"/>
      <c r="N4" s="2497"/>
      <c r="O4" s="2497"/>
      <c r="P4" s="2497"/>
      <c r="Q4" s="2497"/>
      <c r="R4" s="2497"/>
      <c r="S4" s="2497"/>
      <c r="T4" s="2497"/>
      <c r="U4" s="2497"/>
      <c r="V4" s="2497"/>
      <c r="W4" s="2497"/>
      <c r="X4" s="2497"/>
      <c r="Y4" s="2497"/>
      <c r="Z4" s="2497"/>
    </row>
    <row r="5" spans="1:26" x14ac:dyDescent="0.2">
      <c r="A5" s="2535" t="s">
        <v>1106</v>
      </c>
      <c r="B5" s="2536" t="s">
        <v>163</v>
      </c>
      <c r="C5" s="2536" t="s">
        <v>1241</v>
      </c>
      <c r="D5" s="2536" t="s">
        <v>1107</v>
      </c>
      <c r="E5" s="2536" t="s">
        <v>1261</v>
      </c>
      <c r="F5" s="2537" t="s">
        <v>244</v>
      </c>
      <c r="G5" s="2283"/>
      <c r="H5" s="2495"/>
      <c r="I5" s="2282"/>
      <c r="J5" s="2282"/>
      <c r="K5" s="2282"/>
      <c r="L5" s="2282"/>
      <c r="M5" s="2282"/>
      <c r="N5" s="2282"/>
      <c r="O5" s="2282"/>
      <c r="P5" s="2282"/>
      <c r="Q5" s="2282"/>
      <c r="R5" s="2282"/>
      <c r="S5" s="2282"/>
      <c r="T5" s="2282"/>
      <c r="U5" s="2282"/>
      <c r="V5" s="2282"/>
      <c r="W5" s="2282"/>
      <c r="X5" s="2282"/>
      <c r="Y5" s="2282"/>
      <c r="Z5" s="2282"/>
    </row>
    <row r="6" spans="1:26" ht="17.100000000000001" customHeight="1" x14ac:dyDescent="0.2">
      <c r="A6" s="2538"/>
      <c r="B6" s="2539">
        <f>SA_SFP_Herbe+SA_SFP_Luz</f>
        <v>65</v>
      </c>
      <c r="C6" s="2539">
        <f>SA_SFP_Mais+SUM(Saisies_Exploitation!D29:D32)</f>
        <v>25</v>
      </c>
      <c r="D6" s="2539">
        <f>SUM(Saisies_Exploitation!D37:D41)</f>
        <v>0</v>
      </c>
      <c r="E6" s="2539">
        <f>SA_Jachere</f>
        <v>5</v>
      </c>
      <c r="F6" s="2540">
        <f>SA_SAUtotale</f>
        <v>95</v>
      </c>
      <c r="G6" s="2527"/>
      <c r="H6" s="2495"/>
      <c r="I6" s="2282"/>
      <c r="J6" s="2282"/>
      <c r="K6" s="2282"/>
      <c r="L6" s="2282"/>
      <c r="M6" s="2282"/>
      <c r="N6" s="2282"/>
      <c r="O6" s="2282"/>
      <c r="P6" s="2282"/>
      <c r="Q6" s="2282"/>
      <c r="R6" s="2282"/>
      <c r="S6" s="2282"/>
      <c r="T6" s="2282"/>
      <c r="U6" s="2282"/>
      <c r="V6" s="2282"/>
      <c r="W6" s="2282"/>
      <c r="X6" s="2282"/>
      <c r="Y6" s="2282"/>
      <c r="Z6" s="2282"/>
    </row>
    <row r="7" spans="1:26" x14ac:dyDescent="0.2">
      <c r="A7" s="2535" t="s">
        <v>1108</v>
      </c>
      <c r="B7" s="2536" t="s">
        <v>163</v>
      </c>
      <c r="C7" s="2536" t="s">
        <v>161</v>
      </c>
      <c r="D7" s="2536"/>
      <c r="E7" s="2536" t="s">
        <v>1261</v>
      </c>
      <c r="F7" s="2537" t="s">
        <v>1309</v>
      </c>
      <c r="G7" s="2528"/>
      <c r="H7" s="2495"/>
      <c r="I7" s="2282"/>
      <c r="J7" s="2282"/>
      <c r="K7" s="2282"/>
      <c r="L7" s="2282"/>
      <c r="M7" s="2282"/>
      <c r="N7" s="2282"/>
      <c r="O7" s="2282"/>
      <c r="P7" s="2282"/>
      <c r="Q7" s="2282"/>
      <c r="R7" s="2282"/>
      <c r="S7" s="2282"/>
      <c r="T7" s="2282"/>
      <c r="U7" s="2282"/>
      <c r="V7" s="2282"/>
      <c r="W7" s="2282"/>
      <c r="X7" s="2282"/>
      <c r="Y7" s="2282"/>
      <c r="Z7" s="2282"/>
    </row>
    <row r="8" spans="1:26" ht="17.100000000000001" customHeight="1" x14ac:dyDescent="0.2">
      <c r="A8" s="2541"/>
      <c r="B8" s="2542">
        <f>B6/F6</f>
        <v>0.68421052631578949</v>
      </c>
      <c r="C8" s="2543">
        <f>SA_CA/F6</f>
        <v>0.26315789473684209</v>
      </c>
      <c r="D8" s="2544"/>
      <c r="E8" s="2542">
        <f>E6/F6</f>
        <v>5.2631578947368418E-2</v>
      </c>
      <c r="F8" s="2545">
        <f>0.01*Saisies_Exploitation!M41</f>
        <v>0.94444444444444442</v>
      </c>
      <c r="G8" s="2528"/>
      <c r="H8" s="2495"/>
      <c r="I8" s="2282"/>
      <c r="J8" s="2282"/>
      <c r="K8" s="2282"/>
      <c r="L8" s="2282"/>
      <c r="M8" s="2282"/>
      <c r="N8" s="2282"/>
      <c r="O8" s="2282"/>
      <c r="P8" s="2282"/>
      <c r="Q8" s="2282"/>
      <c r="R8" s="2282"/>
      <c r="S8" s="2282"/>
      <c r="T8" s="2282"/>
      <c r="U8" s="2282"/>
      <c r="V8" s="2282"/>
      <c r="W8" s="2282"/>
      <c r="X8" s="2282"/>
      <c r="Y8" s="2282"/>
      <c r="Z8" s="2282"/>
    </row>
    <row r="9" spans="1:26" ht="17.100000000000001" customHeight="1" x14ac:dyDescent="0.2">
      <c r="A9" s="2541"/>
      <c r="B9" s="2542"/>
      <c r="C9" s="2546"/>
      <c r="D9" s="2544"/>
      <c r="E9" s="2547" t="str">
        <f>IF(E8&lt;0.05,"La Surface d'Intérêt Ecologique devrait être supérieure à 5% de la SAU","")</f>
        <v/>
      </c>
      <c r="F9" s="2545"/>
      <c r="G9" s="2528"/>
      <c r="H9" s="2495"/>
      <c r="I9" s="2282"/>
      <c r="J9" s="2282"/>
      <c r="K9" s="2282"/>
      <c r="L9" s="2282"/>
      <c r="M9" s="2282"/>
      <c r="N9" s="2282"/>
      <c r="O9" s="2282"/>
      <c r="P9" s="2282"/>
      <c r="Q9" s="2282"/>
      <c r="R9" s="2282"/>
      <c r="S9" s="2282"/>
      <c r="T9" s="2282"/>
      <c r="U9" s="2282"/>
      <c r="V9" s="2282"/>
      <c r="W9" s="2282"/>
      <c r="X9" s="2282"/>
      <c r="Y9" s="2282"/>
      <c r="Z9" s="2282"/>
    </row>
    <row r="10" spans="1:26" x14ac:dyDescent="0.2">
      <c r="A10" s="2548" t="s">
        <v>1109</v>
      </c>
      <c r="B10" s="2455" t="s">
        <v>163</v>
      </c>
      <c r="C10" s="3297" t="s">
        <v>1216</v>
      </c>
      <c r="D10" s="3297"/>
      <c r="E10" s="2455" t="s">
        <v>2318</v>
      </c>
      <c r="F10" s="2549"/>
      <c r="G10" s="2528"/>
      <c r="H10" s="2495"/>
      <c r="I10" s="2282"/>
      <c r="J10" s="2282"/>
      <c r="K10" s="2282"/>
      <c r="L10" s="2282"/>
      <c r="M10" s="2282"/>
      <c r="N10" s="2282"/>
      <c r="O10" s="2282"/>
      <c r="P10" s="2282"/>
      <c r="Q10" s="2282"/>
      <c r="R10" s="2282"/>
      <c r="S10" s="2282"/>
      <c r="T10" s="2282"/>
      <c r="U10" s="2282"/>
      <c r="V10" s="2282"/>
      <c r="W10" s="2282"/>
      <c r="X10" s="2282"/>
      <c r="Y10" s="2282"/>
      <c r="Z10" s="2282"/>
    </row>
    <row r="11" spans="1:26" ht="17.100000000000001" customHeight="1" x14ac:dyDescent="0.2">
      <c r="A11" s="2550"/>
      <c r="B11" s="2551">
        <f>B6/SA_SFPc</f>
        <v>0.72222222222222221</v>
      </c>
      <c r="C11" s="3391">
        <f>SA_SFP_Mais/SA_SFPc</f>
        <v>0.16666666666666666</v>
      </c>
      <c r="D11" s="3391"/>
      <c r="E11" s="2551">
        <f>SUM(Saisies_Exploitation!D29:D31)/SA_SFPc</f>
        <v>0.1111111111111111</v>
      </c>
      <c r="F11" s="2552"/>
      <c r="G11" s="2282"/>
      <c r="H11" s="2495"/>
      <c r="I11" s="2282"/>
      <c r="J11" s="2282"/>
      <c r="K11" s="2282"/>
      <c r="L11" s="2282"/>
      <c r="M11" s="2282"/>
      <c r="N11" s="2282"/>
      <c r="O11" s="2282"/>
      <c r="P11" s="2282"/>
      <c r="Q11" s="2282"/>
      <c r="R11" s="2282"/>
      <c r="S11" s="2282"/>
      <c r="T11" s="2282"/>
      <c r="U11" s="2282"/>
      <c r="V11" s="2282"/>
      <c r="W11" s="2282"/>
      <c r="X11" s="2282"/>
      <c r="Y11" s="2282"/>
      <c r="Z11" s="2282"/>
    </row>
    <row r="12" spans="1:26" ht="5.0999999999999996" customHeight="1" x14ac:dyDescent="0.2">
      <c r="A12" s="2529"/>
      <c r="B12" s="2532"/>
      <c r="C12" s="2532"/>
      <c r="D12" s="2532"/>
      <c r="E12" s="2533"/>
      <c r="F12" s="2534"/>
      <c r="G12" s="2282"/>
      <c r="H12" s="2495"/>
      <c r="I12" s="2282"/>
      <c r="J12" s="2282"/>
      <c r="K12" s="2282"/>
      <c r="L12" s="2282"/>
      <c r="M12" s="2282"/>
      <c r="N12" s="2282"/>
      <c r="O12" s="2282"/>
      <c r="P12" s="2282"/>
      <c r="Q12" s="2282"/>
      <c r="R12" s="2282"/>
      <c r="S12" s="2282"/>
      <c r="T12" s="2282"/>
      <c r="U12" s="2282"/>
      <c r="V12" s="2282"/>
      <c r="W12" s="2282"/>
      <c r="X12" s="2282"/>
      <c r="Y12" s="2282"/>
      <c r="Z12" s="2282"/>
    </row>
    <row r="13" spans="1:26" ht="12.75" customHeight="1" x14ac:dyDescent="0.2">
      <c r="A13" s="2553" t="s">
        <v>1215</v>
      </c>
      <c r="B13" s="2554" t="s">
        <v>1214</v>
      </c>
      <c r="C13" s="2555" t="s">
        <v>1274</v>
      </c>
      <c r="D13" s="2556" t="s">
        <v>1555</v>
      </c>
      <c r="E13" s="2557"/>
      <c r="F13" s="2558">
        <f>Ugb_Tot</f>
        <v>114.78978666666666</v>
      </c>
      <c r="G13" s="2529"/>
      <c r="H13" s="2495"/>
      <c r="I13" s="2282"/>
      <c r="J13" s="2282"/>
      <c r="K13" s="2282"/>
      <c r="L13" s="2282"/>
      <c r="M13" s="2282"/>
      <c r="N13" s="2282"/>
      <c r="O13" s="2282"/>
      <c r="P13" s="2282"/>
      <c r="Q13" s="2282"/>
      <c r="R13" s="2282"/>
      <c r="S13" s="2282"/>
      <c r="T13" s="2282"/>
      <c r="U13" s="2282"/>
      <c r="V13" s="2282"/>
      <c r="W13" s="2282"/>
      <c r="X13" s="2282"/>
      <c r="Y13" s="2282"/>
      <c r="Z13" s="2282"/>
    </row>
    <row r="14" spans="1:26" x14ac:dyDescent="0.2">
      <c r="A14" s="2559"/>
      <c r="B14" s="2546" t="str">
        <f>IF(B16&gt;1.7+0.3*TA_NbVaches/(VL_NbVaches+TA_NbVaches),"Le chargement apparaît trop important","")</f>
        <v/>
      </c>
      <c r="C14" s="2560"/>
      <c r="D14" s="2561" t="s">
        <v>1557</v>
      </c>
      <c r="E14" s="2334"/>
      <c r="F14" s="2562">
        <f>Saisies_Exploitation!L50/(Saisies_Exploitation!L121+Saisies_Exploitation!L50)</f>
        <v>0.94301283644000211</v>
      </c>
      <c r="G14" s="2530"/>
      <c r="H14" s="2495"/>
      <c r="I14" s="2282"/>
      <c r="J14" s="2282"/>
      <c r="K14" s="2282"/>
      <c r="L14" s="2282"/>
      <c r="M14" s="2282"/>
      <c r="N14" s="2282"/>
      <c r="O14" s="2282"/>
      <c r="P14" s="2282"/>
      <c r="Q14" s="2282"/>
      <c r="R14" s="2282"/>
      <c r="S14" s="2282"/>
      <c r="T14" s="2282"/>
      <c r="U14" s="2282"/>
      <c r="V14" s="2282"/>
      <c r="W14" s="2282"/>
      <c r="X14" s="2282"/>
      <c r="Y14" s="2282"/>
      <c r="Z14" s="2282"/>
    </row>
    <row r="15" spans="1:26" ht="17.100000000000001" customHeight="1" x14ac:dyDescent="0.2">
      <c r="A15" s="2563" t="s">
        <v>1212</v>
      </c>
      <c r="B15" s="2564">
        <f>Ugb_Tot/SA_SFP</f>
        <v>1.4348723333333333</v>
      </c>
      <c r="C15" s="2565"/>
      <c r="D15" s="2548" t="s">
        <v>1327</v>
      </c>
      <c r="E15" s="2334"/>
      <c r="F15" s="2562">
        <f>0.01*Saisies_Exploitation!H51</f>
        <v>0.29411764705882354</v>
      </c>
      <c r="G15" s="2531" t="str">
        <f>IF(F15&gt;0.35,"Le taux devrait rester &lt; 35%","")</f>
        <v/>
      </c>
      <c r="H15" s="2495"/>
      <c r="I15" s="2282"/>
      <c r="J15" s="2282"/>
      <c r="K15" s="2282"/>
      <c r="L15" s="2282"/>
      <c r="M15" s="2282"/>
      <c r="N15" s="2282"/>
      <c r="O15" s="2282"/>
      <c r="P15" s="2282"/>
      <c r="Q15" s="2282"/>
      <c r="R15" s="2282"/>
      <c r="S15" s="2282"/>
      <c r="T15" s="2282"/>
      <c r="U15" s="2282"/>
      <c r="V15" s="2282"/>
      <c r="W15" s="2282"/>
      <c r="X15" s="2282"/>
      <c r="Y15" s="2282"/>
      <c r="Z15" s="2282"/>
    </row>
    <row r="16" spans="1:26" ht="17.100000000000001" customHeight="1" x14ac:dyDescent="0.2">
      <c r="A16" s="2563" t="s">
        <v>1213</v>
      </c>
      <c r="B16" s="2564">
        <f>Ugb_Tot/SA_SFPc</f>
        <v>1.275442074074074</v>
      </c>
      <c r="C16" s="2566">
        <f>(VL_NbVaches+TA_NbVaches)/SA_SFPc</f>
        <v>0.81111111111111112</v>
      </c>
      <c r="D16" s="2561" t="s">
        <v>1558</v>
      </c>
      <c r="E16" s="2334"/>
      <c r="F16" s="2562">
        <f>Saisies_Exploitation!M121/Saisies_Exploitation!M124</f>
        <v>0.14133738601823709</v>
      </c>
      <c r="G16" s="2530"/>
      <c r="H16" s="2495"/>
      <c r="I16" s="2282"/>
      <c r="J16" s="2282"/>
      <c r="K16" s="2282"/>
      <c r="L16" s="2282"/>
      <c r="M16" s="2282"/>
      <c r="N16" s="2282"/>
      <c r="O16" s="2282"/>
      <c r="P16" s="2282"/>
      <c r="Q16" s="2282"/>
      <c r="R16" s="2282"/>
      <c r="S16" s="2282"/>
      <c r="T16" s="2282"/>
      <c r="U16" s="2282"/>
      <c r="V16" s="2282"/>
      <c r="W16" s="2282"/>
      <c r="X16" s="2282"/>
      <c r="Y16" s="2282"/>
      <c r="Z16" s="2282"/>
    </row>
    <row r="17" spans="1:26" ht="17.100000000000001" customHeight="1" x14ac:dyDescent="0.2">
      <c r="A17" s="2563" t="s">
        <v>1273</v>
      </c>
      <c r="B17" s="2564">
        <f>(Ugb_Tot-SUM(Saisies_Exploitation!N96:N97))/SA_SFP_Herbe</f>
        <v>1.7659967179487177</v>
      </c>
      <c r="C17" s="2566">
        <f>(VL_NbVaches+TA_NbVaches)/SA_SFP_Herbe</f>
        <v>1.1230769230769231</v>
      </c>
      <c r="D17" s="2567" t="s">
        <v>1328</v>
      </c>
      <c r="E17" s="2568"/>
      <c r="F17" s="2569">
        <f>0.01*Saisies_Exploitation!H65</f>
        <v>0.27272727272727276</v>
      </c>
      <c r="G17" s="2531" t="str">
        <f>IF(F17&gt;0.3,"Le taux devrait rester &lt; 30%","")</f>
        <v/>
      </c>
      <c r="H17" s="2495"/>
      <c r="I17" s="2282"/>
      <c r="J17" s="2282"/>
      <c r="K17" s="2282"/>
      <c r="L17" s="2282"/>
      <c r="M17" s="2282"/>
      <c r="N17" s="2282"/>
      <c r="O17" s="2282"/>
      <c r="P17" s="2282"/>
      <c r="Q17" s="2282"/>
      <c r="R17" s="2282"/>
      <c r="S17" s="2282"/>
      <c r="T17" s="2282"/>
      <c r="U17" s="2282"/>
      <c r="V17" s="2282"/>
      <c r="W17" s="2282"/>
      <c r="X17" s="2282"/>
      <c r="Y17" s="2282"/>
      <c r="Z17" s="2282"/>
    </row>
    <row r="18" spans="1:26" ht="5.0999999999999996" customHeight="1" x14ac:dyDescent="0.2">
      <c r="A18" s="2498"/>
      <c r="B18" s="2499"/>
      <c r="C18" s="2499"/>
      <c r="D18" s="2500"/>
      <c r="E18" s="2501"/>
      <c r="F18" s="2502"/>
      <c r="G18" s="2282"/>
      <c r="H18" s="2495"/>
      <c r="I18" s="2282"/>
      <c r="J18" s="2282"/>
      <c r="K18" s="2282"/>
      <c r="L18" s="2282"/>
      <c r="M18" s="2282"/>
      <c r="N18" s="2282"/>
      <c r="O18" s="2282"/>
      <c r="P18" s="2282"/>
      <c r="Q18" s="2282"/>
      <c r="R18" s="2282"/>
      <c r="S18" s="2282"/>
      <c r="T18" s="2282"/>
      <c r="U18" s="2282"/>
      <c r="V18" s="2282"/>
      <c r="W18" s="2282"/>
      <c r="X18" s="2282"/>
      <c r="Y18" s="2282"/>
      <c r="Z18" s="2282"/>
    </row>
    <row r="19" spans="1:26" ht="17.100000000000001" customHeight="1" x14ac:dyDescent="0.2">
      <c r="A19" s="3383" t="s">
        <v>1559</v>
      </c>
      <c r="B19" s="3396"/>
      <c r="C19" s="3383" t="s">
        <v>1560</v>
      </c>
      <c r="D19" s="3396"/>
      <c r="E19" s="3397"/>
      <c r="F19" s="3383" t="s">
        <v>1561</v>
      </c>
      <c r="G19" s="3384"/>
      <c r="H19" s="2495"/>
      <c r="I19" s="2282"/>
      <c r="J19" s="2282"/>
      <c r="K19" s="2282"/>
      <c r="L19" s="2282"/>
      <c r="M19" s="2282"/>
      <c r="N19" s="2282"/>
      <c r="O19" s="2282"/>
      <c r="P19" s="2282"/>
      <c r="Q19" s="2282"/>
      <c r="R19" s="2282"/>
      <c r="S19" s="2282"/>
      <c r="T19" s="2282"/>
      <c r="U19" s="2282"/>
      <c r="V19" s="2282"/>
      <c r="W19" s="2282"/>
      <c r="X19" s="2282"/>
      <c r="Y19" s="2282"/>
      <c r="Z19" s="2282"/>
    </row>
    <row r="20" spans="1:26" ht="17.100000000000001" customHeight="1" x14ac:dyDescent="0.2">
      <c r="A20" s="2741" t="s">
        <v>1255</v>
      </c>
      <c r="B20" s="2742">
        <f>Autonomie!H55/SA_SFPc</f>
        <v>7.1350555555555566</v>
      </c>
      <c r="C20" s="2741" t="s">
        <v>539</v>
      </c>
      <c r="D20" s="2743">
        <f>Saisies_Exploitation!H46/SA_SFPc</f>
        <v>3980.4933333333329</v>
      </c>
      <c r="E20" s="2744" t="s">
        <v>1262</v>
      </c>
      <c r="F20" s="2745" t="s">
        <v>1330</v>
      </c>
      <c r="G20" s="2746">
        <f>Autonomie!H154</f>
        <v>5.5941823627978993</v>
      </c>
      <c r="H20" s="2521" t="str">
        <f>IF(G20&lt;5.5,"Objectif de sécurité 5.5 T / UGB","")</f>
        <v/>
      </c>
      <c r="I20" s="2282"/>
      <c r="J20" s="2282"/>
      <c r="K20" s="2282"/>
      <c r="L20" s="2282"/>
      <c r="M20" s="2282"/>
      <c r="N20" s="2282"/>
      <c r="O20" s="2282"/>
      <c r="P20" s="2282"/>
      <c r="Q20" s="2282"/>
      <c r="R20" s="2282"/>
      <c r="S20" s="2282"/>
      <c r="T20" s="2282"/>
      <c r="U20" s="2282"/>
      <c r="V20" s="2282"/>
      <c r="W20" s="2282"/>
      <c r="X20" s="2282"/>
      <c r="Y20" s="2282"/>
      <c r="Z20" s="2282"/>
    </row>
    <row r="21" spans="1:26" ht="17.100000000000001" customHeight="1" x14ac:dyDescent="0.2">
      <c r="A21" s="2741" t="s">
        <v>1257</v>
      </c>
      <c r="B21" s="2743">
        <f>Autonomie!J55/SA_SFPc</f>
        <v>6013.7066666666678</v>
      </c>
      <c r="C21" s="2741" t="s">
        <v>539</v>
      </c>
      <c r="D21" s="2743">
        <f>Saisies_Exploitation!H46/Saisies_Exploitation!L50</f>
        <v>4639.082181605716</v>
      </c>
      <c r="E21" s="2744" t="s">
        <v>1524</v>
      </c>
      <c r="F21" s="2745" t="s">
        <v>1331</v>
      </c>
      <c r="G21" s="2747">
        <f>0.01*Autonomie!H152</f>
        <v>1.1225125461664802</v>
      </c>
      <c r="H21" s="2521"/>
      <c r="I21" s="2282"/>
      <c r="J21" s="2282"/>
      <c r="K21" s="2282"/>
      <c r="L21" s="2282"/>
      <c r="M21" s="2282"/>
      <c r="N21" s="2282"/>
      <c r="O21" s="2282"/>
      <c r="P21" s="2282"/>
      <c r="Q21" s="2282"/>
      <c r="R21" s="2282"/>
      <c r="S21" s="2282"/>
      <c r="T21" s="2282"/>
      <c r="U21" s="2282"/>
      <c r="V21" s="2282"/>
      <c r="W21" s="2282"/>
      <c r="X21" s="2282"/>
      <c r="Y21" s="2282"/>
      <c r="Z21" s="2282"/>
    </row>
    <row r="22" spans="1:26" ht="17.100000000000001" customHeight="1" x14ac:dyDescent="0.2">
      <c r="A22" s="2741" t="s">
        <v>1256</v>
      </c>
      <c r="B22" s="2743">
        <f>Autonomie!K55/SA_SFPc</f>
        <v>148.28438888888891</v>
      </c>
      <c r="C22" s="2741" t="s">
        <v>1422</v>
      </c>
      <c r="D22" s="2743">
        <f>EN_ProVive/SA_SFPc</f>
        <v>343.72222222222223</v>
      </c>
      <c r="E22" s="2744" t="s">
        <v>1262</v>
      </c>
      <c r="F22" s="2745" t="s">
        <v>1332</v>
      </c>
      <c r="G22" s="2747">
        <f>0.01*Autonomie!J152</f>
        <v>1.0871389929648163</v>
      </c>
      <c r="H22" s="2521"/>
      <c r="I22" s="2282"/>
      <c r="J22" s="2282"/>
      <c r="K22" s="2282"/>
      <c r="L22" s="2282"/>
      <c r="M22" s="2282"/>
      <c r="N22" s="2282"/>
      <c r="O22" s="2282"/>
      <c r="P22" s="2282"/>
      <c r="Q22" s="2282"/>
      <c r="R22" s="2282"/>
      <c r="S22" s="2282"/>
      <c r="T22" s="2282"/>
      <c r="U22" s="2282"/>
      <c r="V22" s="2282"/>
      <c r="W22" s="2282"/>
      <c r="X22" s="2282"/>
      <c r="Y22" s="2282"/>
      <c r="Z22" s="2282"/>
    </row>
    <row r="23" spans="1:26" ht="17.100000000000001" customHeight="1" x14ac:dyDescent="0.2">
      <c r="A23" s="2748"/>
      <c r="B23" s="2749" t="str">
        <f>IF(B22&lt;140,"Devrait dépasser 140","")</f>
        <v/>
      </c>
      <c r="C23" s="2748" t="s">
        <v>1422</v>
      </c>
      <c r="D23" s="2750">
        <f>EN_ProVive/Ugb_Tot</f>
        <v>269.49261688089791</v>
      </c>
      <c r="E23" s="2751" t="s">
        <v>1250</v>
      </c>
      <c r="F23" s="2752" t="s">
        <v>1333</v>
      </c>
      <c r="G23" s="2753">
        <f>0.01*Autonomie!K152</f>
        <v>0.92062666761183454</v>
      </c>
      <c r="H23" s="2521"/>
      <c r="I23" s="2282"/>
      <c r="J23" s="2282"/>
      <c r="K23" s="2282"/>
      <c r="L23" s="2282"/>
      <c r="M23" s="2282"/>
      <c r="N23" s="2282"/>
      <c r="O23" s="2282"/>
      <c r="P23" s="2282"/>
      <c r="Q23" s="2282"/>
      <c r="R23" s="2282"/>
      <c r="S23" s="2282"/>
      <c r="T23" s="2282"/>
      <c r="U23" s="2282"/>
      <c r="V23" s="2282"/>
      <c r="W23" s="2282"/>
      <c r="X23" s="2282"/>
      <c r="Y23" s="2282"/>
      <c r="Z23" s="2282"/>
    </row>
    <row r="24" spans="1:26" ht="5.0999999999999996" customHeight="1" x14ac:dyDescent="0.2">
      <c r="A24" s="2503"/>
      <c r="B24" s="2504"/>
      <c r="C24" s="2505"/>
      <c r="D24" s="2062"/>
      <c r="E24" s="2506"/>
      <c r="F24" s="2507"/>
      <c r="G24" s="2508"/>
      <c r="H24" s="2495"/>
      <c r="I24" s="2282"/>
      <c r="J24" s="2282"/>
      <c r="K24" s="2282"/>
      <c r="L24" s="2282"/>
      <c r="M24" s="2282"/>
      <c r="N24" s="2282"/>
      <c r="O24" s="2282"/>
      <c r="P24" s="2282"/>
      <c r="Q24" s="2282"/>
      <c r="R24" s="2282"/>
      <c r="S24" s="2282"/>
      <c r="T24" s="2282"/>
      <c r="U24" s="2282"/>
      <c r="V24" s="2282"/>
      <c r="W24" s="2282"/>
      <c r="X24" s="2282"/>
      <c r="Y24" s="2282"/>
      <c r="Z24" s="2282"/>
    </row>
    <row r="25" spans="1:26" ht="17.100000000000001" customHeight="1" x14ac:dyDescent="0.2">
      <c r="A25" s="3392" t="s">
        <v>1365</v>
      </c>
      <c r="B25" s="3393"/>
      <c r="C25" s="3393"/>
      <c r="D25" s="3393"/>
      <c r="E25" s="3394"/>
      <c r="F25" s="3395" t="s">
        <v>1564</v>
      </c>
      <c r="G25" s="3390"/>
      <c r="H25" s="2495"/>
      <c r="I25" s="2282"/>
      <c r="J25" s="2282"/>
      <c r="K25" s="2282"/>
      <c r="L25" s="2282"/>
      <c r="M25" s="2282"/>
      <c r="N25" s="2282"/>
      <c r="O25" s="2282"/>
      <c r="P25" s="2282"/>
      <c r="Q25" s="2282"/>
      <c r="R25" s="2282"/>
      <c r="S25" s="2282"/>
      <c r="T25" s="2282"/>
      <c r="U25" s="2282"/>
      <c r="V25" s="2282"/>
      <c r="W25" s="2282"/>
      <c r="X25" s="2282"/>
      <c r="Y25" s="2282"/>
      <c r="Z25" s="2282"/>
    </row>
    <row r="26" spans="1:26" ht="17.100000000000001" customHeight="1" x14ac:dyDescent="0.2">
      <c r="A26" s="2548" t="s">
        <v>1242</v>
      </c>
      <c r="B26" s="2334"/>
      <c r="C26" s="2455" t="s">
        <v>447</v>
      </c>
      <c r="D26" s="2455" t="s">
        <v>1027</v>
      </c>
      <c r="E26" s="2574" t="s">
        <v>1567</v>
      </c>
      <c r="F26" s="2575" t="s">
        <v>1565</v>
      </c>
      <c r="G26" s="2576" t="s">
        <v>1566</v>
      </c>
      <c r="H26" s="2495"/>
      <c r="I26" s="2282"/>
      <c r="J26" s="2282"/>
      <c r="K26" s="2282"/>
      <c r="L26" s="2282"/>
      <c r="M26" s="2282"/>
      <c r="N26" s="2282"/>
      <c r="O26" s="2282"/>
      <c r="P26" s="2282"/>
      <c r="Q26" s="2282"/>
      <c r="R26" s="2282"/>
      <c r="S26" s="2282"/>
      <c r="T26" s="2282"/>
      <c r="U26" s="2282"/>
      <c r="V26" s="2282"/>
      <c r="W26" s="2282"/>
      <c r="X26" s="2282"/>
      <c r="Y26" s="2282"/>
      <c r="Z26" s="2282"/>
    </row>
    <row r="27" spans="1:26" ht="17.100000000000001" customHeight="1" x14ac:dyDescent="0.2">
      <c r="A27" s="2563" t="s">
        <v>1258</v>
      </c>
      <c r="B27" s="2334"/>
      <c r="C27" s="2451">
        <f>NPK_Organiques!$H19/SA_SAUnette</f>
        <v>110.31207100591716</v>
      </c>
      <c r="D27" s="2451">
        <f>NPK_Organiques!$H19/SA_SPE</f>
        <v>134.16332960179113</v>
      </c>
      <c r="E27" s="2577">
        <f>NPK_Organiques!$H19/SA_SAMO</f>
        <v>141.82980557903633</v>
      </c>
      <c r="F27" s="2578">
        <f>1000*NPK_Organiques!H10/Saisies_Exploitation!H46</f>
        <v>14.2517781823411</v>
      </c>
      <c r="G27" s="2579">
        <f>1000*SUM(NPK_Organiques!H11,NPK_Organiques!H13:H14)/EN_ProVive</f>
        <v>106.79597004471742</v>
      </c>
      <c r="H27" s="2495"/>
      <c r="I27" s="2282"/>
      <c r="J27" s="2282"/>
      <c r="K27" s="2282"/>
      <c r="L27" s="2282"/>
      <c r="M27" s="2282"/>
      <c r="N27" s="2282"/>
      <c r="O27" s="2282"/>
      <c r="P27" s="2282"/>
      <c r="Q27" s="2282"/>
      <c r="R27" s="2282"/>
      <c r="S27" s="2282"/>
      <c r="T27" s="2282"/>
      <c r="U27" s="2282"/>
      <c r="V27" s="2282"/>
      <c r="W27" s="2282"/>
      <c r="X27" s="2282"/>
      <c r="Y27" s="2282"/>
      <c r="Z27" s="2282"/>
    </row>
    <row r="28" spans="1:26" ht="40.5" customHeight="1" x14ac:dyDescent="0.2">
      <c r="A28" s="2563"/>
      <c r="B28" s="2334"/>
      <c r="C28" s="2547" t="str">
        <f>IF(C27&gt;120,"Maximum agronomique: 120 kg N/ha","")</f>
        <v/>
      </c>
      <c r="D28" s="2451"/>
      <c r="E28" s="2787" t="s">
        <v>2332</v>
      </c>
      <c r="F28" s="2788" t="s">
        <v>2330</v>
      </c>
      <c r="G28" s="2789" t="s">
        <v>2331</v>
      </c>
      <c r="H28" s="2495"/>
      <c r="I28" s="2282"/>
      <c r="J28" s="2282"/>
      <c r="K28" s="2282"/>
      <c r="L28" s="2282"/>
      <c r="M28" s="2282"/>
      <c r="N28" s="2282"/>
      <c r="O28" s="2282"/>
      <c r="P28" s="2282"/>
      <c r="Q28" s="2282"/>
      <c r="R28" s="2282"/>
      <c r="S28" s="2282"/>
      <c r="T28" s="2282"/>
      <c r="U28" s="2282"/>
      <c r="V28" s="2282"/>
      <c r="W28" s="2282"/>
      <c r="X28" s="2282"/>
      <c r="Y28" s="2282"/>
      <c r="Z28" s="2282"/>
    </row>
    <row r="29" spans="1:26" ht="17.100000000000001" customHeight="1" x14ac:dyDescent="0.2">
      <c r="A29" s="2563" t="s">
        <v>1259</v>
      </c>
      <c r="B29" s="2334"/>
      <c r="C29" s="2451">
        <f>NPK_Organiques!$K19/SA_SAUnette</f>
        <v>43.858147052377824</v>
      </c>
      <c r="D29" s="2451">
        <f>NPK_Organiques!$K19/SA_SPE</f>
        <v>53.340989658297353</v>
      </c>
      <c r="E29" s="2577">
        <f>NPK_Organiques!$K19/SA_SAMO</f>
        <v>56.389046210200057</v>
      </c>
      <c r="F29" s="2580">
        <f>1000*NPK_Organiques!K10/Saisies_Exploitation!H46</f>
        <v>5.6769900698536286</v>
      </c>
      <c r="G29" s="2581">
        <f>1000*SUM(NPK_Organiques!K11,NPK_Organiques!K13:K14)/EN_ProVive</f>
        <v>37.935994827864874</v>
      </c>
      <c r="H29" s="2495"/>
      <c r="I29" s="2282"/>
      <c r="J29" s="2282"/>
      <c r="K29" s="2282"/>
      <c r="L29" s="2282"/>
      <c r="M29" s="2282"/>
      <c r="N29" s="2282"/>
      <c r="O29" s="2282"/>
      <c r="P29" s="2282"/>
      <c r="Q29" s="2282"/>
      <c r="R29" s="2282"/>
      <c r="S29" s="2282"/>
      <c r="T29" s="2282"/>
      <c r="U29" s="2282"/>
      <c r="V29" s="2282"/>
      <c r="W29" s="2282"/>
      <c r="X29" s="2282"/>
      <c r="Y29" s="2282"/>
      <c r="Z29" s="2282"/>
    </row>
    <row r="30" spans="1:26" ht="17.100000000000001" customHeight="1" x14ac:dyDescent="0.2">
      <c r="A30" s="2563"/>
      <c r="B30" s="2334"/>
      <c r="C30" s="2547" t="str">
        <f>IF(C29&gt;60,"Maximum agronomique: 60","")</f>
        <v/>
      </c>
      <c r="D30" s="2451"/>
      <c r="E30" s="2547" t="str">
        <f>IF(E29&gt;80,"Maximum agronomique: 80","")</f>
        <v/>
      </c>
      <c r="F30" s="2580"/>
      <c r="G30" s="2581"/>
      <c r="H30" s="2495"/>
      <c r="I30" s="2282"/>
      <c r="J30" s="2282"/>
      <c r="K30" s="2282"/>
      <c r="L30" s="2282"/>
      <c r="M30" s="2282"/>
      <c r="N30" s="2282"/>
      <c r="O30" s="2282"/>
      <c r="P30" s="2282"/>
      <c r="Q30" s="2282"/>
      <c r="R30" s="2282"/>
      <c r="S30" s="2282"/>
      <c r="T30" s="2282"/>
      <c r="U30" s="2282"/>
      <c r="V30" s="2282"/>
      <c r="W30" s="2282"/>
      <c r="X30" s="2282"/>
      <c r="Y30" s="2282"/>
      <c r="Z30" s="2282"/>
    </row>
    <row r="31" spans="1:26" ht="17.100000000000001" customHeight="1" x14ac:dyDescent="0.2">
      <c r="A31" s="2582" t="s">
        <v>1260</v>
      </c>
      <c r="B31" s="2583"/>
      <c r="C31" s="2584">
        <f>NPK_Organiques!$N19/SA_SAUnette</f>
        <v>154.58980013149244</v>
      </c>
      <c r="D31" s="2584">
        <f>NPK_Organiques!$N19/SA_SPE</f>
        <v>188.01462178154486</v>
      </c>
      <c r="E31" s="2585">
        <f>NPK_Organiques!$N19/SA_SAMO</f>
        <v>198.75831445477601</v>
      </c>
      <c r="F31" s="2586">
        <f>1000*NPK_Organiques!N10/Saisies_Exploitation!H46</f>
        <v>19.174755218786359</v>
      </c>
      <c r="G31" s="2587">
        <f>1000*SUM(NPK_Organiques!N11,NPK_Organiques!N13:N14)/EN_ProVive</f>
        <v>148.40256451699804</v>
      </c>
      <c r="H31" s="2495"/>
      <c r="I31" s="2282"/>
      <c r="J31" s="2282"/>
      <c r="K31" s="2282"/>
      <c r="L31" s="2282"/>
      <c r="M31" s="2282"/>
      <c r="N31" s="2282"/>
      <c r="O31" s="2282"/>
      <c r="P31" s="2282"/>
      <c r="Q31" s="2282"/>
      <c r="R31" s="2282"/>
      <c r="S31" s="2282"/>
      <c r="T31" s="2282"/>
      <c r="U31" s="2282"/>
      <c r="V31" s="2282"/>
      <c r="W31" s="2282"/>
      <c r="X31" s="2282"/>
      <c r="Y31" s="2282"/>
      <c r="Z31" s="2282"/>
    </row>
    <row r="32" spans="1:26" ht="17.100000000000001" customHeight="1" x14ac:dyDescent="0.2">
      <c r="A32" s="3392" t="s">
        <v>1364</v>
      </c>
      <c r="B32" s="3393"/>
      <c r="C32" s="3393"/>
      <c r="D32" s="3393"/>
      <c r="E32" s="3393"/>
      <c r="F32" s="3389" t="str">
        <f>IF(Plan_Epandage!AB9=1,"","Rappel des quantités totales")</f>
        <v/>
      </c>
      <c r="G32" s="3390"/>
      <c r="H32" s="2507"/>
      <c r="I32" s="2282"/>
      <c r="J32" s="2282"/>
      <c r="K32" s="2282"/>
      <c r="L32" s="2282"/>
      <c r="M32" s="2282"/>
      <c r="N32" s="2282"/>
      <c r="O32" s="2282"/>
      <c r="P32" s="2282"/>
      <c r="Q32" s="2282"/>
      <c r="R32" s="2282"/>
      <c r="S32" s="2282"/>
      <c r="T32" s="2282"/>
      <c r="U32" s="2282"/>
      <c r="V32" s="2282"/>
      <c r="W32" s="2282"/>
      <c r="X32" s="2282"/>
      <c r="Y32" s="2282"/>
      <c r="Z32" s="2282"/>
    </row>
    <row r="33" spans="1:27" ht="17.100000000000001" customHeight="1" x14ac:dyDescent="0.2">
      <c r="A33" s="2548" t="s">
        <v>1242</v>
      </c>
      <c r="B33" s="2334"/>
      <c r="C33" s="2455" t="s">
        <v>447</v>
      </c>
      <c r="D33" s="2455" t="s">
        <v>1027</v>
      </c>
      <c r="E33" s="2588" t="s">
        <v>1567</v>
      </c>
      <c r="F33" s="3297" t="str">
        <f>IF(Plan_Epandage!AB9=1,"",IF(Plan_Epandage!AB9=2,"exportées par ha de SPE",IF(Plan_Epandage!AB9=3,"importées par ha de SPE","")))</f>
        <v/>
      </c>
      <c r="G33" s="3388"/>
      <c r="H33" s="2507"/>
      <c r="I33" s="2282"/>
      <c r="J33" s="2282"/>
      <c r="K33" s="2282"/>
      <c r="L33" s="2282"/>
      <c r="M33" s="2282"/>
      <c r="N33" s="2282"/>
      <c r="O33" s="2282"/>
      <c r="P33" s="2282"/>
      <c r="Q33" s="2282"/>
      <c r="R33" s="2282"/>
      <c r="S33" s="2282"/>
      <c r="T33" s="2282"/>
      <c r="U33" s="2282"/>
      <c r="V33" s="2282"/>
      <c r="W33" s="2282"/>
      <c r="X33" s="2282"/>
      <c r="Y33" s="2282"/>
      <c r="Z33" s="2282"/>
    </row>
    <row r="34" spans="1:27" ht="17.100000000000001" customHeight="1" x14ac:dyDescent="0.2">
      <c r="A34" s="2563" t="s">
        <v>1258</v>
      </c>
      <c r="B34" s="2334"/>
      <c r="C34" s="2451">
        <f>NPK_Organiques!H27</f>
        <v>110.31207100591716</v>
      </c>
      <c r="D34" s="2451">
        <f>NPK_Organiques!H28</f>
        <v>134.16332960179113</v>
      </c>
      <c r="E34" s="2451">
        <f>NPK_Organiques!H29</f>
        <v>141.82980557903633</v>
      </c>
      <c r="F34" s="3381" t="e">
        <f>ROUND(AA34,1)</f>
        <v>#VALUE!</v>
      </c>
      <c r="G34" s="3382"/>
      <c r="H34" s="2507"/>
      <c r="I34" s="2282"/>
      <c r="J34" s="2282"/>
      <c r="K34" s="2282"/>
      <c r="L34" s="2282"/>
      <c r="M34" s="2282"/>
      <c r="N34" s="2282"/>
      <c r="O34" s="2282"/>
      <c r="P34" s="2282"/>
      <c r="Q34" s="2282"/>
      <c r="R34" s="2282"/>
      <c r="S34" s="2282"/>
      <c r="T34" s="2282"/>
      <c r="U34" s="2282"/>
      <c r="V34" s="2282"/>
      <c r="W34" s="2282"/>
      <c r="X34" s="2282"/>
      <c r="Y34" s="2282"/>
      <c r="Z34" s="2282"/>
      <c r="AA34" s="1369" t="e">
        <f>IF(NonExced=1,"",IF(NonExced=2,Plan_Epandage!F32,IF(NonExced=3,Plan_Epandage!D40,"")))/Saisies_Exploitation!F13</f>
        <v>#VALUE!</v>
      </c>
    </row>
    <row r="35" spans="1:27" ht="17.100000000000001" customHeight="1" x14ac:dyDescent="0.2">
      <c r="A35" s="2563" t="s">
        <v>1259</v>
      </c>
      <c r="B35" s="2334"/>
      <c r="C35" s="2451">
        <f>NPK_Organiques!K27</f>
        <v>43.858147052377824</v>
      </c>
      <c r="D35" s="2451">
        <f>NPK_Organiques!K28</f>
        <v>53.340989658297353</v>
      </c>
      <c r="E35" s="2451">
        <f>NPK_Organiques!K29</f>
        <v>56.389046210200057</v>
      </c>
      <c r="F35" s="3381" t="e">
        <f>ROUND(AA35,1)</f>
        <v>#VALUE!</v>
      </c>
      <c r="G35" s="3382"/>
      <c r="H35" s="2507"/>
      <c r="I35" s="2282"/>
      <c r="J35" s="2282"/>
      <c r="K35" s="2282"/>
      <c r="L35" s="2282"/>
      <c r="M35" s="2282"/>
      <c r="N35" s="2282"/>
      <c r="O35" s="2282"/>
      <c r="P35" s="2282"/>
      <c r="Q35" s="2282"/>
      <c r="R35" s="2282"/>
      <c r="S35" s="2282"/>
      <c r="T35" s="2282"/>
      <c r="U35" s="2282"/>
      <c r="V35" s="2282"/>
      <c r="W35" s="2282"/>
      <c r="X35" s="2282"/>
      <c r="Y35" s="2282"/>
      <c r="Z35" s="2282"/>
      <c r="AA35" s="1369" t="e">
        <f>IF(NonExced=1,"",IF(NonExced=2,Plan_Epandage!L32,IF(NonExced=3,Plan_Epandage!L42,"")))/Saisies_Exploitation!F13</f>
        <v>#VALUE!</v>
      </c>
    </row>
    <row r="36" spans="1:27" ht="17.100000000000001" customHeight="1" x14ac:dyDescent="0.2">
      <c r="A36" s="2582" t="s">
        <v>1260</v>
      </c>
      <c r="B36" s="2583"/>
      <c r="C36" s="2584">
        <f>NPK_Organiques!N27</f>
        <v>154.58980013149244</v>
      </c>
      <c r="D36" s="2584">
        <f>NPK_Organiques!N28</f>
        <v>188.01462178154486</v>
      </c>
      <c r="E36" s="2584">
        <f>NPK_Organiques!N29</f>
        <v>198.75831445477601</v>
      </c>
      <c r="F36" s="3400"/>
      <c r="G36" s="3401"/>
      <c r="H36" s="2507"/>
      <c r="I36" s="2282"/>
      <c r="J36" s="2282"/>
      <c r="K36" s="2282"/>
      <c r="L36" s="2282"/>
      <c r="M36" s="2282"/>
      <c r="N36" s="2282"/>
      <c r="O36" s="2282"/>
      <c r="P36" s="2282"/>
      <c r="Q36" s="2282"/>
      <c r="R36" s="2282"/>
      <c r="S36" s="2282"/>
      <c r="T36" s="2282"/>
      <c r="U36" s="2282"/>
      <c r="V36" s="2282"/>
      <c r="W36" s="2282"/>
      <c r="X36" s="2282"/>
      <c r="Y36" s="2282"/>
      <c r="Z36" s="2282"/>
    </row>
    <row r="37" spans="1:27" ht="55.5" customHeight="1" x14ac:dyDescent="0.2">
      <c r="A37" s="3118" t="s">
        <v>1705</v>
      </c>
      <c r="B37" s="3118"/>
      <c r="C37" s="3118"/>
      <c r="D37" s="3118"/>
      <c r="E37" s="3118"/>
      <c r="F37" s="3118"/>
      <c r="G37" s="3118"/>
      <c r="H37" s="2495"/>
      <c r="I37" s="2282"/>
      <c r="J37" s="2282"/>
      <c r="K37" s="2282"/>
      <c r="L37" s="2282"/>
      <c r="M37" s="2282"/>
      <c r="N37" s="2282"/>
      <c r="O37" s="2282"/>
      <c r="P37" s="2282"/>
      <c r="Q37" s="2282"/>
      <c r="R37" s="2282"/>
      <c r="S37" s="2282"/>
      <c r="T37" s="2282"/>
      <c r="U37" s="2282"/>
      <c r="V37" s="2282"/>
      <c r="W37" s="2282"/>
      <c r="X37" s="2282"/>
      <c r="Y37" s="2282"/>
      <c r="Z37" s="2282"/>
    </row>
    <row r="38" spans="1:27" s="1517" customFormat="1" ht="12.75" customHeight="1" x14ac:dyDescent="0.2">
      <c r="A38" s="2596"/>
      <c r="B38" s="3398" t="s">
        <v>413</v>
      </c>
      <c r="C38" s="3398"/>
      <c r="D38" s="2589"/>
      <c r="E38" s="3398" t="s">
        <v>416</v>
      </c>
      <c r="F38" s="3399"/>
      <c r="G38" s="2606"/>
      <c r="H38" s="2522"/>
      <c r="I38" s="2523"/>
      <c r="J38" s="2523"/>
      <c r="K38" s="2523"/>
      <c r="L38" s="2523"/>
      <c r="M38" s="2523"/>
      <c r="N38" s="2523"/>
      <c r="O38" s="2523"/>
      <c r="P38" s="2523"/>
      <c r="Q38" s="2523"/>
      <c r="R38" s="2523"/>
      <c r="S38" s="2523"/>
      <c r="T38" s="2523"/>
      <c r="U38" s="2523"/>
      <c r="V38" s="2523"/>
      <c r="W38" s="2523"/>
      <c r="X38" s="2523"/>
      <c r="Y38" s="2523"/>
      <c r="Z38" s="2523"/>
    </row>
    <row r="39" spans="1:27" ht="25.5" customHeight="1" x14ac:dyDescent="0.2">
      <c r="A39" s="2597" t="s">
        <v>1124</v>
      </c>
      <c r="B39" s="2590" t="s">
        <v>1125</v>
      </c>
      <c r="C39" s="2590" t="s">
        <v>1217</v>
      </c>
      <c r="D39" s="2591"/>
      <c r="E39" s="2590" t="s">
        <v>1125</v>
      </c>
      <c r="F39" s="2598" t="s">
        <v>1217</v>
      </c>
      <c r="G39" s="2282"/>
      <c r="H39" s="2495"/>
      <c r="I39" s="2282"/>
      <c r="J39" s="2282"/>
      <c r="K39" s="2282"/>
      <c r="L39" s="2282"/>
      <c r="M39" s="2282"/>
      <c r="N39" s="2282"/>
      <c r="O39" s="2282"/>
      <c r="P39" s="2282"/>
      <c r="Q39" s="2282"/>
      <c r="R39" s="2282"/>
      <c r="S39" s="2282"/>
      <c r="T39" s="2282"/>
      <c r="U39" s="2282"/>
      <c r="V39" s="2282"/>
      <c r="W39" s="2282"/>
      <c r="X39" s="2282"/>
      <c r="Y39" s="2282"/>
      <c r="Z39" s="2282"/>
    </row>
    <row r="40" spans="1:27" x14ac:dyDescent="0.2">
      <c r="A40" s="2599" t="s">
        <v>1126</v>
      </c>
      <c r="B40" s="2592" t="s">
        <v>1130</v>
      </c>
      <c r="C40" s="2592" t="s">
        <v>1568</v>
      </c>
      <c r="D40" s="2593"/>
      <c r="E40" s="2592" t="s">
        <v>1218</v>
      </c>
      <c r="F40" s="2600" t="s">
        <v>1222</v>
      </c>
      <c r="G40" s="2282"/>
      <c r="H40" s="2495"/>
      <c r="I40" s="2282"/>
      <c r="J40" s="2282"/>
      <c r="K40" s="2282"/>
      <c r="L40" s="2282"/>
      <c r="M40" s="2282"/>
      <c r="N40" s="2282"/>
      <c r="O40" s="2282"/>
      <c r="P40" s="2282"/>
      <c r="Q40" s="2282"/>
      <c r="R40" s="2282"/>
      <c r="S40" s="2282"/>
      <c r="T40" s="2282"/>
      <c r="U40" s="2282"/>
      <c r="V40" s="2282"/>
      <c r="W40" s="2282"/>
      <c r="X40" s="2282"/>
      <c r="Y40" s="2282"/>
      <c r="Z40" s="2282"/>
    </row>
    <row r="41" spans="1:27" x14ac:dyDescent="0.2">
      <c r="A41" s="2599" t="s">
        <v>1126</v>
      </c>
      <c r="B41" s="2601" t="s">
        <v>1131</v>
      </c>
      <c r="C41" s="2601" t="s">
        <v>1120</v>
      </c>
      <c r="D41" s="2602"/>
      <c r="E41" s="2601" t="s">
        <v>1219</v>
      </c>
      <c r="F41" s="2603" t="s">
        <v>1120</v>
      </c>
      <c r="G41" s="2282"/>
      <c r="H41" s="2495"/>
      <c r="I41" s="2282"/>
      <c r="J41" s="2282"/>
      <c r="K41" s="2282"/>
      <c r="L41" s="2282"/>
      <c r="M41" s="2282"/>
      <c r="N41" s="2282"/>
      <c r="O41" s="2282"/>
      <c r="P41" s="2282"/>
      <c r="Q41" s="2282"/>
      <c r="R41" s="2282"/>
      <c r="S41" s="2282"/>
      <c r="T41" s="2282"/>
      <c r="U41" s="2282"/>
      <c r="V41" s="2282"/>
      <c r="W41" s="2282"/>
      <c r="X41" s="2282"/>
      <c r="Y41" s="2282"/>
      <c r="Z41" s="2282"/>
    </row>
    <row r="42" spans="1:27" x14ac:dyDescent="0.2">
      <c r="A42" s="2599" t="s">
        <v>1127</v>
      </c>
      <c r="B42" s="2601" t="s">
        <v>1132</v>
      </c>
      <c r="C42" s="2601" t="s">
        <v>1121</v>
      </c>
      <c r="D42" s="2602"/>
      <c r="E42" s="2601" t="s">
        <v>1220</v>
      </c>
      <c r="F42" s="2603" t="s">
        <v>1223</v>
      </c>
      <c r="G42" s="2282"/>
      <c r="H42" s="2495"/>
      <c r="I42" s="2282"/>
      <c r="J42" s="2282"/>
      <c r="K42" s="2282"/>
      <c r="L42" s="2282"/>
      <c r="M42" s="2282"/>
      <c r="N42" s="2282"/>
      <c r="O42" s="2282"/>
      <c r="P42" s="2282"/>
      <c r="Q42" s="2282"/>
      <c r="R42" s="2282"/>
      <c r="S42" s="2282"/>
      <c r="T42" s="2282"/>
      <c r="U42" s="2282"/>
      <c r="V42" s="2282"/>
      <c r="W42" s="2282"/>
      <c r="X42" s="2282"/>
      <c r="Y42" s="2282"/>
      <c r="Z42" s="2282"/>
    </row>
    <row r="43" spans="1:27" x14ac:dyDescent="0.2">
      <c r="A43" s="2599" t="s">
        <v>1128</v>
      </c>
      <c r="B43" s="2601" t="s">
        <v>1133</v>
      </c>
      <c r="C43" s="2601" t="s">
        <v>1122</v>
      </c>
      <c r="D43" s="2602"/>
      <c r="E43" s="2601" t="s">
        <v>1221</v>
      </c>
      <c r="F43" s="2603" t="s">
        <v>1224</v>
      </c>
      <c r="G43" s="2282"/>
      <c r="H43" s="2495"/>
      <c r="I43" s="2282"/>
      <c r="J43" s="2282"/>
      <c r="K43" s="2282"/>
      <c r="L43" s="2282"/>
      <c r="M43" s="2282"/>
      <c r="N43" s="2282"/>
      <c r="O43" s="2282"/>
      <c r="P43" s="2282"/>
      <c r="Q43" s="2282"/>
      <c r="R43" s="2282"/>
      <c r="S43" s="2282"/>
      <c r="T43" s="2282"/>
      <c r="U43" s="2282"/>
      <c r="V43" s="2282"/>
      <c r="W43" s="2282"/>
      <c r="X43" s="2282"/>
      <c r="Y43" s="2282"/>
      <c r="Z43" s="2282"/>
    </row>
    <row r="44" spans="1:27" x14ac:dyDescent="0.2">
      <c r="A44" s="2604" t="s">
        <v>1129</v>
      </c>
      <c r="B44" s="2594" t="s">
        <v>1134</v>
      </c>
      <c r="C44" s="2594" t="s">
        <v>1123</v>
      </c>
      <c r="D44" s="2595"/>
      <c r="E44" s="2594">
        <v>0</v>
      </c>
      <c r="F44" s="2605" t="s">
        <v>1225</v>
      </c>
      <c r="G44" s="2282"/>
      <c r="H44" s="2495"/>
      <c r="I44" s="2282"/>
      <c r="J44" s="2282"/>
      <c r="K44" s="2282"/>
      <c r="L44" s="2282"/>
      <c r="M44" s="2282"/>
      <c r="N44" s="2282"/>
      <c r="O44" s="2282"/>
      <c r="P44" s="2282"/>
      <c r="Q44" s="2282"/>
      <c r="R44" s="2282"/>
      <c r="S44" s="2282"/>
      <c r="T44" s="2282"/>
      <c r="U44" s="2282"/>
      <c r="V44" s="2282"/>
      <c r="W44" s="2282"/>
      <c r="X44" s="2282"/>
      <c r="Y44" s="2282"/>
      <c r="Z44" s="2282"/>
    </row>
    <row r="45" spans="1:27" s="2" customFormat="1" ht="39.75" customHeight="1" x14ac:dyDescent="0.2">
      <c r="A45" s="3118" t="s">
        <v>1691</v>
      </c>
      <c r="B45" s="3118"/>
      <c r="C45" s="3118"/>
      <c r="D45" s="3118"/>
      <c r="E45" s="3118"/>
      <c r="F45" s="3118"/>
      <c r="G45" s="3118"/>
      <c r="H45" s="2496"/>
      <c r="I45" s="2497"/>
      <c r="J45" s="2497"/>
      <c r="K45" s="2497"/>
      <c r="L45" s="2497"/>
      <c r="M45" s="2497"/>
      <c r="N45" s="2497"/>
      <c r="O45" s="2497"/>
      <c r="P45" s="2497"/>
      <c r="Q45" s="2497"/>
      <c r="R45" s="2497"/>
      <c r="S45" s="2497"/>
      <c r="T45" s="2497"/>
      <c r="U45" s="2497"/>
      <c r="V45" s="2497"/>
      <c r="W45" s="2497"/>
      <c r="X45" s="2497"/>
      <c r="Y45" s="2497"/>
      <c r="Z45" s="2497"/>
    </row>
    <row r="46" spans="1:27" ht="15" x14ac:dyDescent="0.25">
      <c r="A46" s="3370" t="s">
        <v>1599</v>
      </c>
      <c r="B46" s="3370"/>
      <c r="C46" s="3370"/>
      <c r="D46" s="3370"/>
      <c r="E46" s="3370"/>
      <c r="F46" s="3370"/>
      <c r="G46" s="3370"/>
      <c r="H46" s="2495"/>
      <c r="I46" s="2282"/>
      <c r="J46" s="2282"/>
      <c r="K46" s="2282"/>
      <c r="L46" s="2282"/>
      <c r="M46" s="2282"/>
      <c r="N46" s="2282"/>
      <c r="O46" s="2282"/>
      <c r="P46" s="2282"/>
      <c r="Q46" s="2282"/>
      <c r="R46" s="2282"/>
      <c r="S46" s="2282"/>
      <c r="T46" s="2282"/>
      <c r="U46" s="2282"/>
      <c r="V46" s="2282"/>
      <c r="W46" s="2282"/>
      <c r="X46" s="2282"/>
      <c r="Y46" s="2282"/>
      <c r="Z46" s="2282"/>
    </row>
    <row r="47" spans="1:27" s="2" customFormat="1" ht="71.25" customHeight="1" x14ac:dyDescent="0.2">
      <c r="A47" s="3118" t="s">
        <v>1706</v>
      </c>
      <c r="B47" s="3118"/>
      <c r="C47" s="3118"/>
      <c r="D47" s="3118"/>
      <c r="E47" s="3118"/>
      <c r="F47" s="3118"/>
      <c r="G47" s="3118"/>
      <c r="H47" s="2496"/>
      <c r="I47" s="2497"/>
      <c r="J47" s="2497"/>
      <c r="K47" s="2497"/>
      <c r="L47" s="2497"/>
      <c r="M47" s="2497"/>
      <c r="N47" s="2497"/>
      <c r="O47" s="2497"/>
      <c r="P47" s="2497"/>
      <c r="Q47" s="2497"/>
      <c r="R47" s="2497"/>
      <c r="S47" s="2497"/>
      <c r="T47" s="2497"/>
      <c r="U47" s="2497"/>
      <c r="V47" s="2497"/>
      <c r="W47" s="2497"/>
      <c r="X47" s="2497"/>
      <c r="Y47" s="2497"/>
      <c r="Z47" s="2497"/>
    </row>
    <row r="48" spans="1:27" ht="17.850000000000001" customHeight="1" x14ac:dyDescent="0.2">
      <c r="A48" s="3374" t="s">
        <v>1675</v>
      </c>
      <c r="B48" s="3374"/>
      <c r="C48" s="3374"/>
      <c r="D48" s="3374"/>
      <c r="E48" s="3374"/>
      <c r="F48" s="3374"/>
      <c r="G48" s="3374"/>
      <c r="H48" s="2495"/>
      <c r="I48" s="2282"/>
      <c r="J48" s="2282"/>
      <c r="K48" s="2282"/>
      <c r="L48" s="2282"/>
      <c r="M48" s="2282"/>
      <c r="N48" s="2282"/>
      <c r="O48" s="2282"/>
      <c r="P48" s="2282"/>
      <c r="Q48" s="2282"/>
      <c r="R48" s="2282"/>
      <c r="S48" s="2282"/>
      <c r="T48" s="2282"/>
      <c r="U48" s="2282"/>
      <c r="V48" s="2282"/>
      <c r="W48" s="2282"/>
      <c r="X48" s="2282"/>
      <c r="Y48" s="2282"/>
      <c r="Z48" s="2282"/>
    </row>
    <row r="49" spans="1:30" x14ac:dyDescent="0.2">
      <c r="A49" s="2607"/>
      <c r="B49" s="2608"/>
      <c r="C49" s="2609" t="s">
        <v>1676</v>
      </c>
      <c r="D49" s="2608"/>
      <c r="E49" s="2609" t="s">
        <v>1600</v>
      </c>
      <c r="F49" s="2610"/>
      <c r="G49" s="2282"/>
      <c r="H49" s="2495"/>
      <c r="I49" s="2282"/>
      <c r="J49" s="2282"/>
      <c r="K49" s="2282"/>
      <c r="L49" s="2282"/>
      <c r="M49" s="2282"/>
      <c r="N49" s="2282"/>
      <c r="O49" s="2282"/>
      <c r="P49" s="2282"/>
      <c r="Q49" s="2282"/>
      <c r="R49" s="2282"/>
      <c r="S49" s="2282"/>
      <c r="T49" s="2282"/>
      <c r="U49" s="2282"/>
      <c r="V49" s="2282"/>
      <c r="W49" s="2282"/>
      <c r="X49" s="2282"/>
      <c r="Y49" s="2282"/>
      <c r="Z49" s="2282"/>
    </row>
    <row r="50" spans="1:30" x14ac:dyDescent="0.2">
      <c r="A50" s="2548" t="s">
        <v>1110</v>
      </c>
      <c r="B50" s="2334"/>
      <c r="C50" s="2564">
        <f>VL_UgbVL/SA_SFPc</f>
        <v>0.60470133333333342</v>
      </c>
      <c r="D50" s="2486" t="s">
        <v>2082</v>
      </c>
      <c r="E50" s="2564">
        <f>IF(SA_SFP_HerbeVL=0,0,VL_UgbVL/SA_SFP_HerbeVL)</f>
        <v>2.0931969230769232</v>
      </c>
      <c r="F50" s="2565" t="s">
        <v>2083</v>
      </c>
      <c r="G50" s="2282"/>
      <c r="H50" s="2495"/>
      <c r="I50" s="2282"/>
      <c r="J50" s="2282"/>
      <c r="K50" s="2282"/>
      <c r="L50" s="2282"/>
      <c r="M50" s="2282"/>
      <c r="N50" s="2282"/>
      <c r="O50" s="2282"/>
      <c r="P50" s="2282"/>
      <c r="Q50" s="2282"/>
      <c r="R50" s="2282"/>
      <c r="S50" s="2282"/>
      <c r="T50" s="2282"/>
      <c r="U50" s="2282"/>
      <c r="V50" s="2282"/>
      <c r="W50" s="2282"/>
      <c r="X50" s="2282"/>
      <c r="Y50" s="2282"/>
      <c r="Z50" s="2282"/>
    </row>
    <row r="51" spans="1:30" x14ac:dyDescent="0.2">
      <c r="A51" s="2548" t="s">
        <v>1111</v>
      </c>
      <c r="B51" s="2334"/>
      <c r="C51" s="2564">
        <f>TA_UgbVL/SA_SFPc</f>
        <v>0.19555555555555557</v>
      </c>
      <c r="D51" s="2486" t="s">
        <v>1114</v>
      </c>
      <c r="E51" s="2564">
        <f>IF(SA_SFP_HerbeVAL=0,0,TA_UgbVL/SA_SFP_HerbeVAL)</f>
        <v>0.97777777777777786</v>
      </c>
      <c r="F51" s="2565" t="s">
        <v>2084</v>
      </c>
      <c r="G51" s="2282"/>
      <c r="H51" s="2495"/>
      <c r="I51" s="2282"/>
      <c r="J51" s="2282"/>
      <c r="K51" s="2282"/>
      <c r="L51" s="2282"/>
      <c r="M51" s="2282"/>
      <c r="N51" s="2282"/>
      <c r="O51" s="2282"/>
      <c r="P51" s="2282"/>
      <c r="Q51" s="2282"/>
      <c r="R51" s="2282"/>
      <c r="S51" s="2282"/>
      <c r="T51" s="2282"/>
      <c r="U51" s="2282"/>
      <c r="V51" s="2282"/>
      <c r="W51" s="2282"/>
      <c r="X51" s="2282"/>
      <c r="Y51" s="2282"/>
      <c r="Z51" s="2282"/>
    </row>
    <row r="52" spans="1:30" x14ac:dyDescent="0.2">
      <c r="A52" s="2548" t="s">
        <v>1112</v>
      </c>
      <c r="B52" s="2334"/>
      <c r="C52" s="2564">
        <f>(Ugb_Tot-TA_UgbVL-VL_UgbVL)/SA_SFPc</f>
        <v>0.4751851851851851</v>
      </c>
      <c r="D52" s="2486" t="s">
        <v>1114</v>
      </c>
      <c r="E52" s="2564">
        <f>IF(Saisies_Exploitation!H26=0,0,(Ugb_Tot-TA_UgbVL-VL_UgbVL-SUM(Saisies_Exploitation!N96:N97))/Saisies_Exploitation!H26)</f>
        <v>2.0365079365079359</v>
      </c>
      <c r="F52" s="2565" t="s">
        <v>2084</v>
      </c>
      <c r="G52" s="2282"/>
      <c r="H52" s="2495"/>
      <c r="I52" s="2282"/>
      <c r="J52" s="2282"/>
      <c r="K52" s="2282"/>
      <c r="L52" s="2282"/>
      <c r="M52" s="2282"/>
      <c r="N52" s="2282"/>
      <c r="O52" s="2282"/>
      <c r="P52" s="2282"/>
      <c r="Q52" s="2282"/>
      <c r="R52" s="2282"/>
      <c r="S52" s="2282"/>
      <c r="T52" s="2282"/>
      <c r="U52" s="2282"/>
      <c r="V52" s="2282"/>
      <c r="W52" s="2282"/>
      <c r="X52" s="2282"/>
      <c r="Y52" s="2282"/>
      <c r="Z52" s="2282"/>
    </row>
    <row r="53" spans="1:30" x14ac:dyDescent="0.2">
      <c r="A53" s="2538" t="s">
        <v>1113</v>
      </c>
      <c r="B53" s="2583"/>
      <c r="C53" s="2611">
        <f>Ugb_Tot/SA_SFPc</f>
        <v>1.275442074074074</v>
      </c>
      <c r="D53" s="2612" t="s">
        <v>1115</v>
      </c>
      <c r="E53" s="2611">
        <f>(Ugb_Tot-SUM(Saisies_Exploitation!N96:N97))/SA_SFP_Herbe</f>
        <v>1.7659967179487177</v>
      </c>
      <c r="F53" s="2613" t="s">
        <v>2085</v>
      </c>
      <c r="G53" s="2282"/>
      <c r="H53" s="2495"/>
      <c r="I53" s="2282"/>
      <c r="J53" s="2282"/>
      <c r="K53" s="2282"/>
      <c r="L53" s="2282"/>
      <c r="M53" s="2282"/>
      <c r="N53" s="2282"/>
      <c r="O53" s="2282"/>
      <c r="P53" s="2282"/>
      <c r="Q53" s="2282"/>
      <c r="R53" s="2282"/>
      <c r="S53" s="2282"/>
      <c r="T53" s="2282"/>
      <c r="U53" s="2282"/>
      <c r="V53" s="2282"/>
      <c r="W53" s="2282"/>
      <c r="X53" s="2282"/>
      <c r="Y53" s="2282"/>
      <c r="Z53" s="2282"/>
    </row>
    <row r="54" spans="1:30" ht="69.75" customHeight="1" x14ac:dyDescent="0.2">
      <c r="A54" s="3359" t="s">
        <v>1707</v>
      </c>
      <c r="B54" s="3359"/>
      <c r="C54" s="3359"/>
      <c r="D54" s="3359"/>
      <c r="E54" s="3359"/>
      <c r="F54" s="3359"/>
      <c r="G54" s="3359"/>
      <c r="H54" s="2495"/>
      <c r="I54" s="2282"/>
      <c r="J54" s="2282"/>
      <c r="K54" s="2282"/>
      <c r="L54" s="2282"/>
      <c r="M54" s="2282"/>
      <c r="N54" s="2282"/>
      <c r="O54" s="2282"/>
      <c r="P54" s="2282"/>
      <c r="Q54" s="2282"/>
      <c r="R54" s="2282"/>
      <c r="S54" s="2282"/>
      <c r="T54" s="2282"/>
      <c r="U54" s="2282"/>
      <c r="V54" s="2282"/>
      <c r="W54" s="2282"/>
      <c r="X54" s="2282"/>
      <c r="Y54" s="2282"/>
      <c r="Z54" s="2282"/>
    </row>
    <row r="55" spans="1:30" s="2" customFormat="1" ht="20.100000000000001" customHeight="1" x14ac:dyDescent="0.2">
      <c r="A55" s="3374" t="s">
        <v>1135</v>
      </c>
      <c r="B55" s="3374"/>
      <c r="C55" s="3374"/>
      <c r="D55" s="3374"/>
      <c r="E55" s="3374"/>
      <c r="F55" s="3374"/>
      <c r="G55" s="3374"/>
      <c r="H55" s="2496"/>
      <c r="I55" s="2282"/>
      <c r="J55" s="2282"/>
      <c r="K55" s="2282"/>
      <c r="L55" s="2282"/>
      <c r="M55" s="2497"/>
      <c r="N55" s="2497"/>
      <c r="O55" s="2497"/>
      <c r="P55" s="2497"/>
      <c r="Q55" s="2497"/>
      <c r="R55" s="2497"/>
      <c r="S55" s="2497"/>
      <c r="T55" s="2497"/>
      <c r="U55" s="2497"/>
      <c r="V55" s="2497"/>
      <c r="W55" s="2497"/>
      <c r="X55" s="2497"/>
      <c r="Y55" s="2497"/>
      <c r="Z55" s="2497"/>
      <c r="AB55" s="2027" t="s">
        <v>1155</v>
      </c>
      <c r="AC55" s="2027" t="s">
        <v>1156</v>
      </c>
      <c r="AD55" s="2027" t="s">
        <v>244</v>
      </c>
    </row>
    <row r="56" spans="1:30" x14ac:dyDescent="0.2">
      <c r="A56" s="2283"/>
      <c r="B56" s="2621"/>
      <c r="C56" s="2614" t="s">
        <v>452</v>
      </c>
      <c r="D56" s="2536" t="s">
        <v>379</v>
      </c>
      <c r="E56" s="2537" t="s">
        <v>599</v>
      </c>
      <c r="F56" s="3347" t="s">
        <v>2086</v>
      </c>
      <c r="G56" s="3348"/>
      <c r="H56" s="2495"/>
      <c r="I56" s="2282"/>
      <c r="J56" s="2282"/>
      <c r="K56" s="2282"/>
      <c r="L56" s="2282"/>
      <c r="M56" s="2282"/>
      <c r="N56" s="2282"/>
      <c r="O56" s="2282"/>
      <c r="P56" s="2282"/>
      <c r="Q56" s="2282"/>
      <c r="R56" s="2282"/>
      <c r="S56" s="2282"/>
      <c r="T56" s="2282"/>
      <c r="U56" s="2282"/>
      <c r="V56" s="2282"/>
      <c r="W56" s="2282"/>
      <c r="X56" s="2282"/>
      <c r="Y56" s="2282"/>
      <c r="Z56" s="2282"/>
      <c r="AA56" s="1522" t="s">
        <v>2097</v>
      </c>
      <c r="AB56" s="1337">
        <f>EN_NbMalAn1L</f>
        <v>0</v>
      </c>
      <c r="AC56" s="1337">
        <f>Saisies_Exploitation!F196</f>
        <v>0</v>
      </c>
      <c r="AD56" s="1337">
        <f t="shared" ref="AD56:AD70" si="0">AB56*AC56</f>
        <v>0</v>
      </c>
    </row>
    <row r="57" spans="1:30" x14ac:dyDescent="0.2">
      <c r="A57" s="2622"/>
      <c r="B57" s="2623"/>
      <c r="C57" s="2575" t="s">
        <v>1251</v>
      </c>
      <c r="D57" s="2601" t="s">
        <v>1295</v>
      </c>
      <c r="E57" s="2576"/>
      <c r="F57" s="3349"/>
      <c r="G57" s="3350"/>
      <c r="H57" s="2495"/>
      <c r="I57" s="2282"/>
      <c r="J57" s="2282"/>
      <c r="K57" s="2282"/>
      <c r="L57" s="2282"/>
      <c r="M57" s="2282"/>
      <c r="N57" s="2282"/>
      <c r="O57" s="2282"/>
      <c r="P57" s="2282"/>
      <c r="Q57" s="2282"/>
      <c r="R57" s="2282"/>
      <c r="S57" s="2282"/>
      <c r="T57" s="2282"/>
      <c r="U57" s="2282"/>
      <c r="V57" s="2282"/>
      <c r="W57" s="2282"/>
      <c r="X57" s="2282"/>
      <c r="Y57" s="2282"/>
      <c r="Z57" s="2282"/>
      <c r="AA57" s="1522" t="s">
        <v>2098</v>
      </c>
      <c r="AB57" s="1337">
        <f>Saisies_Exploitation!D79</f>
        <v>0</v>
      </c>
      <c r="AC57" s="1337">
        <f>Saisies_Exploitation!F197</f>
        <v>0</v>
      </c>
      <c r="AD57" s="1337">
        <f t="shared" si="0"/>
        <v>0</v>
      </c>
    </row>
    <row r="58" spans="1:30" x14ac:dyDescent="0.2">
      <c r="A58" s="2556" t="s">
        <v>1673</v>
      </c>
      <c r="B58" s="2615"/>
      <c r="C58" s="2616">
        <f>Pressions_Prairies!D6</f>
        <v>2.0931969230769232</v>
      </c>
      <c r="D58" s="2617">
        <f>Pressions_Prairies!D11</f>
        <v>1.3416666666666666</v>
      </c>
      <c r="E58" s="2618">
        <f>Pressions_Prairies!D16</f>
        <v>1.7246031746031747</v>
      </c>
      <c r="F58" s="3351" t="s">
        <v>2087</v>
      </c>
      <c r="G58" s="3352"/>
      <c r="H58" s="2495"/>
      <c r="I58" s="2282"/>
      <c r="J58" s="2282"/>
      <c r="K58" s="2282"/>
      <c r="L58" s="2282"/>
      <c r="M58" s="2282"/>
      <c r="N58" s="2282"/>
      <c r="O58" s="2282"/>
      <c r="P58" s="2282"/>
      <c r="Q58" s="2282"/>
      <c r="R58" s="2282"/>
      <c r="S58" s="2282"/>
      <c r="T58" s="2282"/>
      <c r="U58" s="2282"/>
      <c r="V58" s="2282"/>
      <c r="W58" s="2282"/>
      <c r="X58" s="2282"/>
      <c r="Y58" s="2282"/>
      <c r="Z58" s="2282"/>
      <c r="AA58" s="1522" t="s">
        <v>2099</v>
      </c>
      <c r="AB58" s="1337">
        <f>SUM(Saisies_Exploitation!D84:D87)</f>
        <v>0</v>
      </c>
      <c r="AC58" s="1337">
        <f>Saisies_Exploitation!F198</f>
        <v>0</v>
      </c>
      <c r="AD58" s="1337">
        <f t="shared" si="0"/>
        <v>0</v>
      </c>
    </row>
    <row r="59" spans="1:30" x14ac:dyDescent="0.2">
      <c r="A59" s="2561" t="s">
        <v>1253</v>
      </c>
      <c r="B59" s="2334"/>
      <c r="C59" s="2619">
        <f>Pressions_Prairies!E8</f>
        <v>83.943901546905195</v>
      </c>
      <c r="D59" s="2451">
        <f>Pressions_Prairies!E13</f>
        <v>59.888888888888886</v>
      </c>
      <c r="E59" s="2577">
        <f>Pressions_Prairies!E18</f>
        <v>99.285714285714263</v>
      </c>
      <c r="F59" s="3353" t="s">
        <v>2088</v>
      </c>
      <c r="G59" s="3354"/>
      <c r="H59" s="2495"/>
      <c r="I59" s="2282"/>
      <c r="J59" s="2282"/>
      <c r="K59" s="2282"/>
      <c r="L59" s="2282"/>
      <c r="M59" s="2282"/>
      <c r="N59" s="2282"/>
      <c r="O59" s="2282"/>
      <c r="P59" s="2282"/>
      <c r="Q59" s="2282"/>
      <c r="R59" s="2282"/>
      <c r="S59" s="2282"/>
      <c r="T59" s="2282"/>
      <c r="U59" s="2282"/>
      <c r="V59" s="2282"/>
      <c r="W59" s="2282"/>
      <c r="X59" s="2282"/>
      <c r="Y59" s="2282"/>
      <c r="Z59" s="2282"/>
      <c r="AA59" s="1522" t="s">
        <v>2100</v>
      </c>
      <c r="AB59" s="1337">
        <f>EN_NbMalAn1A</f>
        <v>11</v>
      </c>
      <c r="AC59" s="1337">
        <f>Saisies_Exploitation!F200</f>
        <v>200</v>
      </c>
      <c r="AD59" s="1337">
        <f t="shared" si="0"/>
        <v>2200</v>
      </c>
    </row>
    <row r="60" spans="1:30" x14ac:dyDescent="0.2">
      <c r="A60" s="2561" t="s">
        <v>1254</v>
      </c>
      <c r="B60" s="2334"/>
      <c r="C60" s="2619">
        <f>Pressions_Prairies!F8</f>
        <v>27.408304037844303</v>
      </c>
      <c r="D60" s="2451">
        <f>Pressions_Prairies!F13</f>
        <v>18.638888888888889</v>
      </c>
      <c r="E60" s="2577">
        <f>Pressions_Prairies!F18</f>
        <v>33.31507936507937</v>
      </c>
      <c r="F60" s="3353" t="s">
        <v>2089</v>
      </c>
      <c r="G60" s="3354"/>
      <c r="H60" s="2495"/>
      <c r="I60" s="2282"/>
      <c r="J60" s="2282"/>
      <c r="K60" s="2282"/>
      <c r="L60" s="2282"/>
      <c r="M60" s="2282"/>
      <c r="N60" s="2282"/>
      <c r="O60" s="2282"/>
      <c r="P60" s="2282"/>
      <c r="Q60" s="2282"/>
      <c r="R60" s="2282"/>
      <c r="S60" s="2282"/>
      <c r="T60" s="2282"/>
      <c r="U60" s="2282"/>
      <c r="V60" s="2282"/>
      <c r="W60" s="2282"/>
      <c r="X60" s="2282"/>
      <c r="Y60" s="2282"/>
      <c r="Z60" s="2282"/>
      <c r="AA60" s="1522" t="s">
        <v>2101</v>
      </c>
      <c r="AB60" s="1337">
        <f>Saisies_Exploitation!E79</f>
        <v>0</v>
      </c>
      <c r="AC60" s="1337">
        <f>Saisies_Exploitation!F201</f>
        <v>0</v>
      </c>
      <c r="AD60" s="1337">
        <f t="shared" si="0"/>
        <v>0</v>
      </c>
    </row>
    <row r="61" spans="1:30" x14ac:dyDescent="0.2">
      <c r="A61" s="2538" t="s">
        <v>1601</v>
      </c>
      <c r="B61" s="2583"/>
      <c r="C61" s="2620">
        <f>Chargements!K31</f>
        <v>554.98790641025641</v>
      </c>
      <c r="D61" s="2584">
        <f>Chargements!K37</f>
        <v>437.8145833333333</v>
      </c>
      <c r="E61" s="2585">
        <f>Chargements!K86</f>
        <v>461.85383302411873</v>
      </c>
      <c r="F61" s="3355" t="s">
        <v>2090</v>
      </c>
      <c r="G61" s="3356"/>
      <c r="H61" s="2495"/>
      <c r="I61" s="2282"/>
      <c r="J61" s="2282"/>
      <c r="K61" s="2282"/>
      <c r="L61" s="2282"/>
      <c r="M61" s="2282"/>
      <c r="N61" s="2282"/>
      <c r="O61" s="2282"/>
      <c r="P61" s="2282"/>
      <c r="Q61" s="2282"/>
      <c r="R61" s="2282"/>
      <c r="S61" s="2282"/>
      <c r="T61" s="2282"/>
      <c r="U61" s="2282"/>
      <c r="V61" s="2282"/>
      <c r="W61" s="2282"/>
      <c r="X61" s="2282"/>
      <c r="Y61" s="2282"/>
      <c r="Z61" s="2282"/>
      <c r="AA61" s="1522" t="s">
        <v>2102</v>
      </c>
      <c r="AB61" s="1337">
        <f>SUM(Saisies_Exploitation!E84:E87)</f>
        <v>0</v>
      </c>
      <c r="AC61" s="1337">
        <f>Saisies_Exploitation!F202</f>
        <v>0</v>
      </c>
      <c r="AD61" s="1337">
        <f t="shared" si="0"/>
        <v>0</v>
      </c>
    </row>
    <row r="62" spans="1:30" ht="27.75" customHeight="1" x14ac:dyDescent="0.2">
      <c r="A62" s="3371" t="s">
        <v>1708</v>
      </c>
      <c r="B62" s="3371"/>
      <c r="C62" s="3371"/>
      <c r="D62" s="3371"/>
      <c r="E62" s="3371"/>
      <c r="F62" s="3371"/>
      <c r="G62" s="3371"/>
      <c r="H62" s="2495"/>
      <c r="I62" s="2282"/>
      <c r="J62" s="2282"/>
      <c r="K62" s="2282"/>
      <c r="L62" s="2282"/>
      <c r="M62" s="2282"/>
      <c r="N62" s="2282"/>
      <c r="O62" s="2282"/>
      <c r="P62" s="2282"/>
      <c r="Q62" s="2282"/>
      <c r="R62" s="2282"/>
      <c r="S62" s="2282"/>
      <c r="T62" s="2282"/>
      <c r="U62" s="2282"/>
      <c r="V62" s="2282"/>
      <c r="W62" s="2282"/>
      <c r="X62" s="2282"/>
      <c r="Y62" s="2282"/>
      <c r="Z62" s="2282"/>
      <c r="AA62" s="1522" t="s">
        <v>1151</v>
      </c>
      <c r="AB62" s="1337">
        <f>VL_NbVaches</f>
        <v>51</v>
      </c>
      <c r="AC62" s="1337">
        <f>AVL_Conc</f>
        <v>1100</v>
      </c>
      <c r="AD62" s="1337">
        <f t="shared" si="0"/>
        <v>56100</v>
      </c>
    </row>
    <row r="63" spans="1:30" x14ac:dyDescent="0.2">
      <c r="A63" s="3357"/>
      <c r="B63" s="3358"/>
      <c r="C63" s="3358"/>
      <c r="D63" s="3358"/>
      <c r="E63" s="3358"/>
      <c r="F63" s="3358"/>
      <c r="G63" s="2282"/>
      <c r="H63" s="2495"/>
      <c r="I63" s="2282"/>
      <c r="J63" s="2282"/>
      <c r="K63" s="2282"/>
      <c r="L63" s="2282"/>
      <c r="M63" s="2282"/>
      <c r="N63" s="2282"/>
      <c r="O63" s="2282"/>
      <c r="P63" s="2282"/>
      <c r="Q63" s="2282"/>
      <c r="R63" s="2282"/>
      <c r="S63" s="2282"/>
      <c r="T63" s="2282"/>
      <c r="U63" s="2282"/>
      <c r="V63" s="2282"/>
      <c r="W63" s="2282"/>
      <c r="X63" s="2282"/>
      <c r="Y63" s="2282"/>
      <c r="Z63" s="2282"/>
      <c r="AA63" s="1520" t="s">
        <v>1152</v>
      </c>
      <c r="AB63" s="1337">
        <f>TA_NbVaches</f>
        <v>22</v>
      </c>
      <c r="AC63" s="1337">
        <f>ATA_ConcVa</f>
        <v>400</v>
      </c>
      <c r="AD63" s="1337">
        <f t="shared" si="0"/>
        <v>8800</v>
      </c>
    </row>
    <row r="64" spans="1:30" ht="15" x14ac:dyDescent="0.25">
      <c r="A64" s="3370" t="s">
        <v>1569</v>
      </c>
      <c r="B64" s="3370"/>
      <c r="C64" s="3370"/>
      <c r="D64" s="3370"/>
      <c r="E64" s="3370"/>
      <c r="F64" s="3370"/>
      <c r="G64" s="3370"/>
      <c r="H64" s="2495"/>
      <c r="I64" s="2282"/>
      <c r="J64" s="2282"/>
      <c r="K64" s="2282"/>
      <c r="L64" s="2282"/>
      <c r="M64" s="2282"/>
      <c r="N64" s="2282"/>
      <c r="O64" s="2282"/>
      <c r="P64" s="2282"/>
      <c r="Q64" s="2282"/>
      <c r="R64" s="2282"/>
      <c r="S64" s="2282"/>
      <c r="T64" s="2282"/>
      <c r="U64" s="2282"/>
      <c r="V64" s="2282"/>
      <c r="W64" s="2282"/>
      <c r="X64" s="2282"/>
      <c r="Y64" s="2282"/>
      <c r="Z64" s="2282"/>
      <c r="AA64" s="1520" t="s">
        <v>439</v>
      </c>
      <c r="AB64" s="1337">
        <f>VL_NbGenAn3</f>
        <v>15</v>
      </c>
      <c r="AC64" s="1337">
        <f>AGL_Conc</f>
        <v>650</v>
      </c>
      <c r="AD64" s="1337">
        <f t="shared" si="0"/>
        <v>9750</v>
      </c>
    </row>
    <row r="65" spans="1:31" x14ac:dyDescent="0.2">
      <c r="A65" s="2509" t="s">
        <v>1606</v>
      </c>
      <c r="B65" s="2510"/>
      <c r="C65" s="2510"/>
      <c r="D65" s="2510"/>
      <c r="E65" s="2510"/>
      <c r="F65" s="2510"/>
      <c r="G65" s="2510"/>
      <c r="H65" s="2495"/>
      <c r="I65" s="2282"/>
      <c r="J65" s="2282"/>
      <c r="K65" s="2282"/>
      <c r="L65" s="2282"/>
      <c r="M65" s="2282"/>
      <c r="N65" s="2282"/>
      <c r="O65" s="2282"/>
      <c r="P65" s="2282"/>
      <c r="Q65" s="2282"/>
      <c r="R65" s="2282"/>
      <c r="S65" s="2282"/>
      <c r="T65" s="2282"/>
      <c r="U65" s="2282"/>
      <c r="V65" s="2282"/>
      <c r="W65" s="2282"/>
      <c r="X65" s="2282"/>
      <c r="Y65" s="2282"/>
      <c r="Z65" s="2282"/>
      <c r="AA65" s="1520" t="s">
        <v>1748</v>
      </c>
      <c r="AB65" s="1337">
        <f>TA_NbGenAn3</f>
        <v>6</v>
      </c>
      <c r="AC65" s="1337">
        <f>ATA_ConcGen</f>
        <v>300</v>
      </c>
      <c r="AD65" s="1337">
        <f t="shared" si="0"/>
        <v>1800</v>
      </c>
    </row>
    <row r="66" spans="1:31" ht="53.25" customHeight="1" x14ac:dyDescent="0.2">
      <c r="A66" s="3359" t="s">
        <v>1709</v>
      </c>
      <c r="B66" s="3359"/>
      <c r="C66" s="3359"/>
      <c r="D66" s="3359"/>
      <c r="E66" s="3359"/>
      <c r="F66" s="3359"/>
      <c r="G66" s="3359"/>
      <c r="H66" s="2495"/>
      <c r="I66" s="2282"/>
      <c r="J66" s="2282"/>
      <c r="K66" s="2282"/>
      <c r="L66" s="2282"/>
      <c r="M66" s="2282"/>
      <c r="N66" s="2282"/>
      <c r="O66" s="2282"/>
      <c r="P66" s="2282"/>
      <c r="Q66" s="2282"/>
      <c r="R66" s="2282"/>
      <c r="S66" s="2282"/>
      <c r="T66" s="2282"/>
      <c r="U66" s="2282"/>
      <c r="V66" s="2282"/>
      <c r="W66" s="2282"/>
      <c r="X66" s="2282"/>
      <c r="Y66" s="2282"/>
      <c r="Z66" s="2282"/>
      <c r="AA66" s="1520" t="s">
        <v>1426</v>
      </c>
      <c r="AB66" s="1337">
        <f>TA_NbGenAn1-TA_NbGenAn1Vd</f>
        <v>6</v>
      </c>
      <c r="AC66" s="1337">
        <f>ATA_ConcBr</f>
        <v>180</v>
      </c>
      <c r="AD66" s="1337">
        <f t="shared" si="0"/>
        <v>1080</v>
      </c>
    </row>
    <row r="67" spans="1:31" x14ac:dyDescent="0.2">
      <c r="A67" s="2535" t="s">
        <v>1116</v>
      </c>
      <c r="B67" s="2615"/>
      <c r="C67" s="2624">
        <f>VL_Litrage</f>
        <v>6800</v>
      </c>
      <c r="D67" s="2557" t="s">
        <v>1118</v>
      </c>
      <c r="E67" s="2624">
        <f>AVL_Conc</f>
        <v>1100</v>
      </c>
      <c r="F67" s="2625" t="s">
        <v>1148</v>
      </c>
      <c r="G67" s="2282"/>
      <c r="H67" s="2495"/>
      <c r="I67" s="2282"/>
      <c r="J67" s="2282"/>
      <c r="K67" s="2282"/>
      <c r="L67" s="2282"/>
      <c r="M67" s="2282"/>
      <c r="N67" s="2282"/>
      <c r="O67" s="2282"/>
      <c r="P67" s="2282"/>
      <c r="Q67" s="2282"/>
      <c r="R67" s="2282"/>
      <c r="S67" s="2282"/>
      <c r="T67" s="2282"/>
      <c r="U67" s="2282"/>
      <c r="V67" s="2282"/>
      <c r="W67" s="2282"/>
      <c r="X67" s="2282"/>
      <c r="Y67" s="2282"/>
      <c r="Z67" s="2282"/>
      <c r="AA67" s="1520" t="s">
        <v>1427</v>
      </c>
      <c r="AB67" s="1337">
        <f>TA_NbGenAn1Vd</f>
        <v>4</v>
      </c>
      <c r="AC67" s="1337">
        <f>ATA_ConcBr</f>
        <v>180</v>
      </c>
      <c r="AD67" s="1337">
        <f t="shared" si="0"/>
        <v>720</v>
      </c>
    </row>
    <row r="68" spans="1:31" x14ac:dyDescent="0.2">
      <c r="A68" s="2548" t="s">
        <v>1226</v>
      </c>
      <c r="B68" s="2334"/>
      <c r="C68" s="2451">
        <f>Saisies_Exploitation!H46</f>
        <v>358244.39999999997</v>
      </c>
      <c r="D68" s="2486" t="s">
        <v>1150</v>
      </c>
      <c r="E68" s="2451">
        <f>1000*AVL_Conc/VL_Litrage</f>
        <v>161.76470588235293</v>
      </c>
      <c r="F68" s="2565" t="s">
        <v>1149</v>
      </c>
      <c r="G68" s="2794" t="s">
        <v>2333</v>
      </c>
      <c r="H68" s="2495"/>
      <c r="I68" s="2282"/>
      <c r="J68" s="2282"/>
      <c r="K68" s="2282"/>
      <c r="L68" s="2282"/>
      <c r="M68" s="2282"/>
      <c r="N68" s="2282"/>
      <c r="O68" s="2282"/>
      <c r="P68" s="2282"/>
      <c r="Q68" s="2282"/>
      <c r="R68" s="2282"/>
      <c r="S68" s="2282"/>
      <c r="T68" s="2282"/>
      <c r="U68" s="2282"/>
      <c r="V68" s="2282"/>
      <c r="W68" s="2282"/>
      <c r="X68" s="2282"/>
      <c r="Y68" s="2282"/>
      <c r="Z68" s="2282"/>
      <c r="AA68" s="1520"/>
      <c r="AB68" s="1520"/>
      <c r="AC68" s="1337"/>
      <c r="AD68" s="1337"/>
    </row>
    <row r="69" spans="1:31" x14ac:dyDescent="0.2">
      <c r="A69" s="2780" t="s">
        <v>1243</v>
      </c>
      <c r="B69" s="2785"/>
      <c r="C69" s="2790">
        <f>C68/SA_SFPc</f>
        <v>3980.4933333333329</v>
      </c>
      <c r="D69" s="2486" t="s">
        <v>1235</v>
      </c>
      <c r="E69" s="2451">
        <f>C67*Autonomie!F64*Autonomie!D62/Autonomie!J62</f>
        <v>1450.4869286558651</v>
      </c>
      <c r="F69" s="2565" t="s">
        <v>1148</v>
      </c>
      <c r="G69" s="2795"/>
      <c r="H69" s="2495"/>
      <c r="I69" s="2282"/>
      <c r="J69" s="2282"/>
      <c r="K69" s="2282"/>
      <c r="L69" s="2282"/>
      <c r="M69" s="2282"/>
      <c r="N69" s="2282"/>
      <c r="O69" s="2282"/>
      <c r="P69" s="2282"/>
      <c r="Q69" s="2282"/>
      <c r="R69" s="2282"/>
      <c r="S69" s="2282"/>
      <c r="T69" s="2282"/>
      <c r="U69" s="2282"/>
      <c r="V69" s="2282"/>
      <c r="W69" s="2282"/>
      <c r="X69" s="2282"/>
      <c r="Y69" s="2282"/>
      <c r="Z69" s="2282"/>
      <c r="AA69" s="1520" t="s">
        <v>1428</v>
      </c>
      <c r="AB69" s="1337">
        <f>EN_NbMalAn1A-EN_NbMalAn1Vd</f>
        <v>1</v>
      </c>
      <c r="AC69" s="1337">
        <f>ATA_ConcBr</f>
        <v>180</v>
      </c>
      <c r="AD69" s="1337">
        <f t="shared" si="0"/>
        <v>180</v>
      </c>
    </row>
    <row r="70" spans="1:31" x14ac:dyDescent="0.2">
      <c r="A70" s="2780" t="s">
        <v>1117</v>
      </c>
      <c r="B70" s="2785"/>
      <c r="C70" s="2790">
        <f>C68/SA_SAUtotale</f>
        <v>3770.9936842105258</v>
      </c>
      <c r="D70" s="2486" t="s">
        <v>1236</v>
      </c>
      <c r="E70" s="2451">
        <f>C67-E69</f>
        <v>5349.5130713441349</v>
      </c>
      <c r="F70" s="2565" t="s">
        <v>1148</v>
      </c>
      <c r="G70" s="2794" t="str">
        <f>"Optimum &gt; 75% lait total soit "&amp;0.75*C67&amp;" kg"</f>
        <v>Optimum &gt; 75% lait total soit 5100 kg</v>
      </c>
      <c r="H70" s="2495"/>
      <c r="I70" s="2282"/>
      <c r="J70" s="2282"/>
      <c r="K70" s="2282"/>
      <c r="L70" s="2282"/>
      <c r="M70" s="2282"/>
      <c r="N70" s="2282"/>
      <c r="O70" s="2282"/>
      <c r="P70" s="2282"/>
      <c r="Q70" s="2282"/>
      <c r="R70" s="2282"/>
      <c r="S70" s="2282"/>
      <c r="T70" s="2282"/>
      <c r="U70" s="2282"/>
      <c r="V70" s="2282"/>
      <c r="W70" s="2282"/>
      <c r="X70" s="2282"/>
      <c r="Y70" s="2282"/>
      <c r="Z70" s="2282"/>
      <c r="AA70" s="1520" t="s">
        <v>1429</v>
      </c>
      <c r="AB70" s="1337">
        <f>EN_NbMalAn1Vd</f>
        <v>10</v>
      </c>
      <c r="AC70" s="1337">
        <f>ATA_ConcBr</f>
        <v>180</v>
      </c>
      <c r="AD70" s="1337">
        <f t="shared" si="0"/>
        <v>1800</v>
      </c>
    </row>
    <row r="71" spans="1:31" x14ac:dyDescent="0.2">
      <c r="A71" s="3360" t="s">
        <v>1570</v>
      </c>
      <c r="B71" s="3361"/>
      <c r="C71" s="2584">
        <f>1000*C68/(Autonomie!J62+SUM(Achats!H6:H8,Achats!H46:H48))</f>
        <v>1182.3195395776706</v>
      </c>
      <c r="D71" s="2791" t="s">
        <v>1571</v>
      </c>
      <c r="E71" s="2792">
        <f>0.51*C68/(Autonomie!K62+SUM(Achats!I6:I8,Achats!I46:I48))</f>
        <v>22.367777624404027</v>
      </c>
      <c r="F71" s="2793" t="s">
        <v>105</v>
      </c>
      <c r="G71" s="2794" t="s">
        <v>2334</v>
      </c>
      <c r="H71" s="2495"/>
      <c r="I71" s="2282"/>
      <c r="J71" s="2282"/>
      <c r="K71" s="2282"/>
      <c r="L71" s="2282"/>
      <c r="M71" s="2282"/>
      <c r="N71" s="2282"/>
      <c r="O71" s="2282"/>
      <c r="P71" s="2282"/>
      <c r="Q71" s="2282"/>
      <c r="R71" s="2282"/>
      <c r="S71" s="2282"/>
      <c r="T71" s="2282"/>
      <c r="U71" s="2282"/>
      <c r="V71" s="2282"/>
      <c r="W71" s="2282"/>
      <c r="X71" s="2282"/>
      <c r="Y71" s="2282"/>
      <c r="Z71" s="2282"/>
      <c r="AA71" s="1520" t="s">
        <v>2225</v>
      </c>
      <c r="AB71" s="1337">
        <f>SUM(Saisies_Exploitation!D107:D109)</f>
        <v>0</v>
      </c>
      <c r="AC71" s="1337">
        <f>AEN_ConcGen3L</f>
        <v>0</v>
      </c>
      <c r="AD71" s="1337">
        <f>AB71*AC71</f>
        <v>0</v>
      </c>
    </row>
    <row r="72" spans="1:31" ht="5.0999999999999996" customHeight="1" x14ac:dyDescent="0.2">
      <c r="A72" s="2282"/>
      <c r="B72" s="2282"/>
      <c r="C72" s="2282"/>
      <c r="D72" s="2282"/>
      <c r="E72" s="2282"/>
      <c r="F72" s="2282"/>
      <c r="G72" s="2282"/>
      <c r="H72" s="2495"/>
      <c r="I72" s="2282"/>
      <c r="J72" s="2282"/>
      <c r="K72" s="2282"/>
      <c r="L72" s="2282"/>
      <c r="M72" s="2282"/>
      <c r="N72" s="2282"/>
      <c r="O72" s="2282"/>
      <c r="P72" s="2282"/>
      <c r="Q72" s="2282"/>
      <c r="R72" s="2282"/>
      <c r="S72" s="2282"/>
      <c r="T72" s="2282"/>
      <c r="U72" s="2282"/>
      <c r="V72" s="2282"/>
      <c r="W72" s="2282"/>
      <c r="X72" s="2282"/>
      <c r="Y72" s="2282"/>
      <c r="Z72" s="2282"/>
      <c r="AA72" s="1520"/>
      <c r="AB72" s="1337"/>
      <c r="AC72" s="1337"/>
      <c r="AD72" s="1337"/>
    </row>
    <row r="73" spans="1:31" x14ac:dyDescent="0.2">
      <c r="A73" s="2509" t="s">
        <v>1655</v>
      </c>
      <c r="B73" s="2511"/>
      <c r="C73" s="2511"/>
      <c r="D73" s="2511"/>
      <c r="E73" s="2511"/>
      <c r="F73" s="2282"/>
      <c r="G73" s="2282"/>
      <c r="H73" s="2495"/>
      <c r="I73" s="2282"/>
      <c r="J73" s="2282"/>
      <c r="K73" s="2282"/>
      <c r="L73" s="2282"/>
      <c r="M73" s="2282"/>
      <c r="N73" s="2282"/>
      <c r="O73" s="2282"/>
      <c r="P73" s="2282"/>
      <c r="Q73" s="2282"/>
      <c r="R73" s="2282"/>
      <c r="S73" s="2282"/>
      <c r="T73" s="2282"/>
      <c r="U73" s="2282"/>
      <c r="V73" s="2282"/>
      <c r="W73" s="2282"/>
      <c r="X73" s="2282"/>
      <c r="Y73" s="2282"/>
      <c r="Z73" s="2282"/>
      <c r="AA73" s="1520" t="s">
        <v>2226</v>
      </c>
      <c r="AB73" s="1337">
        <f>SUM(Saisies_Exploitation!E107:E109)</f>
        <v>0</v>
      </c>
      <c r="AC73" s="1337">
        <f>AEN_ConcGen3A</f>
        <v>0</v>
      </c>
      <c r="AD73" s="1337">
        <f>AB73*AC73</f>
        <v>0</v>
      </c>
    </row>
    <row r="74" spans="1:31" s="1679" customFormat="1" ht="57" customHeight="1" x14ac:dyDescent="0.2">
      <c r="A74" s="3362" t="s">
        <v>1692</v>
      </c>
      <c r="B74" s="3362"/>
      <c r="C74" s="3362"/>
      <c r="D74" s="3362"/>
      <c r="E74" s="3362"/>
      <c r="F74" s="3362"/>
      <c r="G74" s="3362"/>
      <c r="H74" s="2496"/>
      <c r="I74" s="2524"/>
      <c r="J74" s="2524"/>
      <c r="K74" s="2524"/>
      <c r="L74" s="2524"/>
      <c r="M74" s="2524"/>
      <c r="N74" s="2524"/>
      <c r="O74" s="2524"/>
      <c r="P74" s="2524"/>
      <c r="Q74" s="2524"/>
      <c r="R74" s="2524"/>
      <c r="S74" s="2524"/>
      <c r="T74" s="2524"/>
      <c r="U74" s="2524"/>
      <c r="V74" s="2524"/>
      <c r="W74" s="2524"/>
      <c r="X74" s="2524"/>
      <c r="Y74" s="2524"/>
      <c r="Z74" s="2524"/>
      <c r="AA74" s="1520" t="s">
        <v>1153</v>
      </c>
      <c r="AB74" s="1337">
        <f>EN_NbVaRefV</f>
        <v>5</v>
      </c>
      <c r="AC74" s="1337">
        <f>AEN_ConcVaR</f>
        <v>300</v>
      </c>
      <c r="AD74" s="1337">
        <f>AB74*AC74</f>
        <v>1500</v>
      </c>
      <c r="AE74"/>
    </row>
    <row r="75" spans="1:31" x14ac:dyDescent="0.2">
      <c r="A75" s="2535" t="s">
        <v>1403</v>
      </c>
      <c r="B75" s="2615"/>
      <c r="C75" s="2624">
        <f>EN_ProVive</f>
        <v>30935</v>
      </c>
      <c r="D75" s="2557" t="s">
        <v>1404</v>
      </c>
      <c r="E75" s="2630">
        <f>SUM(Saisies_Exploitation!BD50,Saisies_Exploitation!BD57,Saisies_Exploitation!BD64,Saisies_Exploitation!BD74,Saisies_Exploitation!BD79,Saisies_Exploitation!BD84:BD87,Saisies_Exploitation!BD91,Saisies_Exploitation!BD96:BD97,Saisies_Exploitation!BD103,Saisies_Exploitation!BD107:BD109,Saisies_Exploitation!BD112,Saisies_Exploitation!BD117:BD118)</f>
        <v>16904.849999999999</v>
      </c>
      <c r="F75" s="2282"/>
      <c r="G75" s="2282"/>
      <c r="H75" s="2495"/>
      <c r="I75" s="2282"/>
      <c r="J75" s="2282"/>
      <c r="K75" s="2282"/>
      <c r="L75" s="2282"/>
      <c r="M75" s="2282"/>
      <c r="N75" s="2282"/>
      <c r="O75" s="2282"/>
      <c r="P75" s="2282"/>
      <c r="Q75" s="2282"/>
      <c r="R75" s="2282"/>
      <c r="S75" s="2282"/>
      <c r="T75" s="2282"/>
      <c r="U75" s="2282"/>
      <c r="V75" s="2282"/>
      <c r="W75" s="2282"/>
      <c r="X75" s="2282"/>
      <c r="Y75" s="2282"/>
      <c r="Z75" s="2282"/>
      <c r="AA75" s="1520" t="s">
        <v>1154</v>
      </c>
      <c r="AB75" s="1337">
        <f>EN_NbVaRefL</f>
        <v>14</v>
      </c>
      <c r="AC75" s="1337">
        <f>AEN_ConcVLR</f>
        <v>300</v>
      </c>
      <c r="AD75" s="1337">
        <f>AB75*AC75</f>
        <v>4200</v>
      </c>
    </row>
    <row r="76" spans="1:31" x14ac:dyDescent="0.2">
      <c r="A76" s="2563" t="s">
        <v>1704</v>
      </c>
      <c r="B76" s="2334"/>
      <c r="C76" s="2451">
        <f>Saisies_Exploitation!L127</f>
        <v>20490</v>
      </c>
      <c r="D76" s="2631" t="s">
        <v>1321</v>
      </c>
      <c r="E76" s="2577">
        <f>SUM(Saisies_Exploitation!BE50,Saisies_Exploitation!BE84:BE87,Saisies_Exploitation!BE91,Saisies_Exploitation!BE97,Saisies_Exploitation!BE107:BE109,Saisies_Exploitation!BE112,Saisies_Exploitation!BE118)</f>
        <v>9952.5</v>
      </c>
      <c r="F76" s="2282"/>
      <c r="G76" s="2282"/>
      <c r="H76" s="2525"/>
      <c r="I76" s="2282"/>
      <c r="J76" s="2282"/>
      <c r="K76" s="2282"/>
      <c r="L76" s="2282"/>
      <c r="M76" s="2282"/>
      <c r="N76" s="2282"/>
      <c r="O76" s="2282"/>
      <c r="P76" s="2282"/>
      <c r="Q76" s="2282"/>
      <c r="R76" s="2282"/>
      <c r="S76" s="2282"/>
      <c r="T76" s="2282"/>
      <c r="U76" s="2282"/>
      <c r="V76" s="2282"/>
      <c r="W76" s="2282"/>
      <c r="X76" s="2282"/>
      <c r="Y76" s="2282"/>
      <c r="Z76" s="2282"/>
      <c r="AA76" s="1520" t="s">
        <v>1409</v>
      </c>
      <c r="AB76" s="1337">
        <f>EN_NbTauril</f>
        <v>0</v>
      </c>
      <c r="AC76" s="1337">
        <f>Saisies_Exploitation!M208</f>
        <v>0</v>
      </c>
      <c r="AD76" s="1337">
        <f>AB76*AC76</f>
        <v>0</v>
      </c>
    </row>
    <row r="77" spans="1:31" x14ac:dyDescent="0.2">
      <c r="A77" s="2563" t="s">
        <v>1432</v>
      </c>
      <c r="B77" s="2334"/>
      <c r="C77" s="2451">
        <f>Saisies_Exploitation!M127</f>
        <v>10445</v>
      </c>
      <c r="D77" s="2631" t="s">
        <v>1322</v>
      </c>
      <c r="E77" s="2577">
        <f>SUM(Saisies_Exploitation!BF57,Saisies_Exploitation!BF64,Saisies_Exploitation!BF74,Saisies_Exploitation!BF79,Saisies_Exploitation!BF84:BF87,Saisies_Exploitation!BF91,Saisies_Exploitation!BF96,Saisies_Exploitation!BF103,Saisies_Exploitation!BF107:BF109,Saisies_Exploitation!BF112,Saisies_Exploitation!BF117)</f>
        <v>6952.35</v>
      </c>
      <c r="F77" s="2282"/>
      <c r="G77" s="2282"/>
      <c r="H77" s="2495"/>
      <c r="I77" s="2282"/>
      <c r="J77" s="2282"/>
      <c r="K77" s="2282"/>
      <c r="L77" s="2282"/>
      <c r="M77" s="2282"/>
      <c r="N77" s="2282"/>
      <c r="O77" s="2282"/>
      <c r="P77" s="2282"/>
      <c r="Q77" s="2282"/>
      <c r="R77" s="2282"/>
      <c r="S77" s="2282"/>
      <c r="T77" s="2282"/>
      <c r="U77" s="2282"/>
      <c r="V77" s="2282"/>
      <c r="W77" s="2282"/>
      <c r="X77" s="2282"/>
      <c r="Y77" s="2282"/>
      <c r="Z77" s="2282"/>
      <c r="AA77" s="1520" t="s">
        <v>502</v>
      </c>
      <c r="AB77" s="1337">
        <f>EN_NbTaurilait</f>
        <v>0</v>
      </c>
      <c r="AC77" s="1337">
        <f>Saisies_Exploitation!M211</f>
        <v>0</v>
      </c>
      <c r="AD77" s="1337">
        <f>AB77*AC77</f>
        <v>0</v>
      </c>
    </row>
    <row r="78" spans="1:31" x14ac:dyDescent="0.2">
      <c r="A78" s="2563"/>
      <c r="B78" s="2334"/>
      <c r="C78" s="2451"/>
      <c r="D78" s="2631" t="s">
        <v>1649</v>
      </c>
      <c r="E78" s="2577">
        <f>Saisies_Exploitation!N128</f>
        <v>17555</v>
      </c>
      <c r="F78" s="2282"/>
      <c r="G78" s="2282"/>
      <c r="H78" s="2495"/>
      <c r="I78" s="2282"/>
      <c r="J78" s="2282"/>
      <c r="K78" s="2282"/>
      <c r="L78" s="2282"/>
      <c r="M78" s="2282"/>
      <c r="N78" s="2282"/>
      <c r="O78" s="2282"/>
      <c r="P78" s="2282"/>
      <c r="Q78" s="2282"/>
      <c r="R78" s="2282"/>
      <c r="S78" s="2282"/>
      <c r="T78" s="2282"/>
      <c r="U78" s="2282"/>
      <c r="V78" s="2282"/>
      <c r="W78" s="2282"/>
      <c r="X78" s="2282"/>
      <c r="Y78" s="2282"/>
      <c r="Z78" s="2282"/>
      <c r="AA78" s="1521" t="s">
        <v>244</v>
      </c>
      <c r="AB78" s="1521"/>
      <c r="AC78" s="1521"/>
      <c r="AD78" s="1369">
        <f>SUM(AD56:AD77)</f>
        <v>88130</v>
      </c>
    </row>
    <row r="79" spans="1:31" x14ac:dyDescent="0.2">
      <c r="A79" s="2780" t="s">
        <v>1244</v>
      </c>
      <c r="B79" s="2785"/>
      <c r="C79" s="2790">
        <f>C75/SA_SFPc</f>
        <v>343.72222222222223</v>
      </c>
      <c r="D79" s="2785" t="s">
        <v>1433</v>
      </c>
      <c r="E79" s="2786">
        <f>Saisies_Exploitation!N128/SA_SFPc</f>
        <v>195.05555555555554</v>
      </c>
      <c r="F79" s="2282"/>
      <c r="G79" s="2282"/>
      <c r="H79" s="2495"/>
      <c r="I79" s="2282"/>
      <c r="J79" s="2282"/>
      <c r="K79" s="2282"/>
      <c r="L79" s="2282"/>
      <c r="M79" s="2282"/>
      <c r="N79" s="2282"/>
      <c r="O79" s="2282"/>
      <c r="P79" s="2282"/>
      <c r="Q79" s="2282"/>
      <c r="R79" s="2282"/>
      <c r="S79" s="2282"/>
      <c r="T79" s="2282"/>
      <c r="U79" s="2282"/>
      <c r="V79" s="2282"/>
      <c r="W79" s="2282"/>
      <c r="X79" s="2282"/>
      <c r="Y79" s="2282"/>
      <c r="Z79" s="2282"/>
    </row>
    <row r="80" spans="1:31" x14ac:dyDescent="0.2">
      <c r="A80" s="2780" t="s">
        <v>1227</v>
      </c>
      <c r="B80" s="2785"/>
      <c r="C80" s="2790">
        <f>C75/SA_SAUtotale</f>
        <v>325.63157894736844</v>
      </c>
      <c r="D80" s="2785" t="s">
        <v>1434</v>
      </c>
      <c r="E80" s="2786">
        <f>Saisies_Exploitation!N128/SA_SAUtotale</f>
        <v>184.78947368421052</v>
      </c>
      <c r="F80" s="2282"/>
      <c r="G80" s="2282"/>
      <c r="H80" s="2495"/>
      <c r="I80" s="2282"/>
      <c r="J80" s="2282"/>
      <c r="K80" s="2282"/>
      <c r="L80" s="2282"/>
      <c r="M80" s="2282"/>
      <c r="N80" s="2282"/>
      <c r="O80" s="2282"/>
      <c r="P80" s="2282"/>
      <c r="Q80" s="2282"/>
      <c r="R80" s="2282"/>
      <c r="S80" s="2282"/>
      <c r="T80" s="2282"/>
      <c r="U80" s="2282"/>
      <c r="V80" s="2282"/>
      <c r="W80" s="2282"/>
      <c r="X80" s="2282"/>
      <c r="Y80" s="2282"/>
      <c r="Z80" s="2282"/>
    </row>
    <row r="81" spans="1:26" x14ac:dyDescent="0.2">
      <c r="A81" s="3360" t="s">
        <v>1636</v>
      </c>
      <c r="B81" s="3361"/>
      <c r="C81" s="2584">
        <f>1000*EN_ProVive/(Autonomie!J107-Autonomie!J62-Autonomie!J71+SUM(Achats!H10:H20,Achats!H28:H42,Achats!H50:H60,Achats!H68:H82))</f>
        <v>189.26277148975223</v>
      </c>
      <c r="D81" s="2791" t="s">
        <v>2322</v>
      </c>
      <c r="E81" s="2796">
        <f>0.024*EN_ProVive/(Autonomie!K107-Autonomie!K62-Autonomie!K71+SUM(Achats!I10:I20,Achats!I28:I42,Achats!I50:I60,Achats!I68:I82))</f>
        <v>0.13927365498611841</v>
      </c>
      <c r="F81" s="2794" t="s">
        <v>2335</v>
      </c>
      <c r="G81" s="2282"/>
      <c r="H81" s="2495"/>
      <c r="I81" s="2282"/>
      <c r="J81" s="2282"/>
      <c r="K81" s="2282"/>
      <c r="L81" s="2282"/>
      <c r="M81" s="2282"/>
      <c r="N81" s="2282"/>
      <c r="O81" s="2282"/>
      <c r="P81" s="2282"/>
      <c r="Q81" s="2282"/>
      <c r="R81" s="2282"/>
      <c r="S81" s="2282"/>
      <c r="T81" s="2282"/>
      <c r="U81" s="2282"/>
      <c r="V81" s="2282"/>
      <c r="W81" s="2282"/>
      <c r="X81" s="2282"/>
      <c r="Y81" s="2282"/>
      <c r="Z81" s="2282"/>
    </row>
    <row r="82" spans="1:26" x14ac:dyDescent="0.2">
      <c r="A82" s="3359" t="s">
        <v>1609</v>
      </c>
      <c r="B82" s="3359"/>
      <c r="C82" s="3359"/>
      <c r="D82" s="3359"/>
      <c r="E82" s="3359"/>
      <c r="F82" s="3359"/>
      <c r="G82" s="3359"/>
      <c r="H82" s="2495"/>
      <c r="I82" s="2282"/>
      <c r="J82" s="2282"/>
      <c r="K82" s="2282"/>
      <c r="L82" s="2282"/>
      <c r="M82" s="2282"/>
      <c r="N82" s="2282"/>
      <c r="O82" s="2282"/>
      <c r="P82" s="2282"/>
      <c r="Q82" s="2282"/>
      <c r="R82" s="2282"/>
      <c r="S82" s="2282"/>
      <c r="T82" s="2282"/>
      <c r="U82" s="2282"/>
      <c r="V82" s="2282"/>
      <c r="W82" s="2282"/>
      <c r="X82" s="2282"/>
      <c r="Y82" s="2282"/>
      <c r="Z82" s="2282"/>
    </row>
    <row r="83" spans="1:26" ht="5.0999999999999996" customHeight="1" x14ac:dyDescent="0.2">
      <c r="A83" s="2282"/>
      <c r="B83" s="2282"/>
      <c r="C83" s="2282"/>
      <c r="D83" s="2282"/>
      <c r="E83" s="2282"/>
      <c r="F83" s="2282"/>
      <c r="G83" s="2282"/>
      <c r="H83" s="2495"/>
      <c r="I83" s="2282"/>
      <c r="J83" s="2282"/>
      <c r="K83" s="2282"/>
      <c r="L83" s="2282"/>
      <c r="M83" s="2282"/>
      <c r="N83" s="2282"/>
      <c r="O83" s="2282"/>
      <c r="P83" s="2282"/>
      <c r="Q83" s="2282"/>
      <c r="R83" s="2282"/>
      <c r="S83" s="2282"/>
      <c r="T83" s="2282"/>
      <c r="U83" s="2282"/>
      <c r="V83" s="2282"/>
      <c r="W83" s="2282"/>
      <c r="X83" s="2282"/>
      <c r="Y83" s="2282"/>
      <c r="Z83" s="2282"/>
    </row>
    <row r="84" spans="1:26" x14ac:dyDescent="0.2">
      <c r="A84" s="2509" t="s">
        <v>1610</v>
      </c>
      <c r="B84" s="2282"/>
      <c r="C84" s="2282"/>
      <c r="D84" s="2282"/>
      <c r="E84" s="2282"/>
      <c r="F84" s="2282"/>
      <c r="G84" s="2282"/>
      <c r="H84" s="2495"/>
      <c r="I84" s="2282"/>
      <c r="J84" s="2282"/>
      <c r="K84" s="2282"/>
      <c r="L84" s="2282"/>
      <c r="M84" s="2282"/>
      <c r="N84" s="2282"/>
      <c r="O84" s="2282"/>
      <c r="P84" s="2282"/>
      <c r="Q84" s="2282"/>
      <c r="R84" s="2282"/>
      <c r="S84" s="2282"/>
      <c r="T84" s="2282"/>
      <c r="U84" s="2282"/>
      <c r="V84" s="2282"/>
      <c r="W84" s="2282"/>
      <c r="X84" s="2282"/>
      <c r="Y84" s="2282"/>
      <c r="Z84" s="2282"/>
    </row>
    <row r="85" spans="1:26" x14ac:dyDescent="0.2">
      <c r="A85" s="2282"/>
      <c r="B85" s="2282"/>
      <c r="C85" s="2636" t="s">
        <v>413</v>
      </c>
      <c r="D85" s="2609" t="s">
        <v>416</v>
      </c>
      <c r="E85" s="2637" t="s">
        <v>1351</v>
      </c>
      <c r="F85" s="2282"/>
      <c r="G85" s="2282"/>
      <c r="H85" s="2495"/>
      <c r="I85" s="2282"/>
      <c r="J85" s="2282"/>
      <c r="K85" s="2282"/>
      <c r="L85" s="2282"/>
      <c r="M85" s="2282"/>
      <c r="N85" s="2282"/>
      <c r="O85" s="2282"/>
      <c r="P85" s="2282"/>
      <c r="Q85" s="2282"/>
      <c r="R85" s="2282"/>
      <c r="S85" s="2282"/>
      <c r="T85" s="2282"/>
      <c r="U85" s="2282"/>
      <c r="V85" s="2282"/>
      <c r="W85" s="2282"/>
      <c r="X85" s="2282"/>
      <c r="Y85" s="2282"/>
      <c r="Z85" s="2282"/>
    </row>
    <row r="86" spans="1:26" x14ac:dyDescent="0.2">
      <c r="A86" s="2535" t="s">
        <v>1324</v>
      </c>
      <c r="B86" s="2615"/>
      <c r="C86" s="2624">
        <f>C76/VL_NbVaches</f>
        <v>401.76470588235293</v>
      </c>
      <c r="D86" s="2624">
        <f>C77/TA_NbVaches</f>
        <v>474.77272727272725</v>
      </c>
      <c r="E86" s="2302"/>
      <c r="F86" s="2282"/>
      <c r="G86" s="2282"/>
      <c r="H86" s="2495"/>
      <c r="I86" s="2282"/>
      <c r="J86" s="2282"/>
      <c r="K86" s="2282"/>
      <c r="L86" s="2282"/>
      <c r="M86" s="2282"/>
      <c r="N86" s="2282"/>
      <c r="O86" s="2282"/>
      <c r="P86" s="2282"/>
      <c r="Q86" s="2282"/>
      <c r="R86" s="2282"/>
      <c r="S86" s="2282"/>
      <c r="T86" s="2282"/>
      <c r="U86" s="2282"/>
      <c r="V86" s="2282"/>
      <c r="W86" s="2282"/>
      <c r="X86" s="2282"/>
      <c r="Y86" s="2282"/>
      <c r="Z86" s="2282"/>
    </row>
    <row r="87" spans="1:26" x14ac:dyDescent="0.2">
      <c r="A87" s="2780" t="s">
        <v>1323</v>
      </c>
      <c r="B87" s="2785"/>
      <c r="C87" s="2790">
        <f>C76/Saisies_Exploitation!L124</f>
        <v>250.21435314521926</v>
      </c>
      <c r="D87" s="2790">
        <f>C77/Saisies_Exploitation!M124</f>
        <v>317.47720364741645</v>
      </c>
      <c r="E87" s="2797"/>
      <c r="F87" s="2282"/>
      <c r="G87" s="2282"/>
      <c r="H87" s="2495"/>
      <c r="I87" s="2282"/>
      <c r="J87" s="2282"/>
      <c r="K87" s="2282"/>
      <c r="L87" s="2282"/>
      <c r="M87" s="2282"/>
      <c r="N87" s="2282"/>
      <c r="O87" s="2282"/>
      <c r="P87" s="2282"/>
      <c r="Q87" s="2282"/>
      <c r="R87" s="2282"/>
      <c r="S87" s="2282"/>
      <c r="T87" s="2282"/>
      <c r="U87" s="2282"/>
      <c r="V87" s="2282"/>
      <c r="W87" s="2282"/>
      <c r="X87" s="2282"/>
      <c r="Y87" s="2282"/>
      <c r="Z87" s="2282"/>
    </row>
    <row r="88" spans="1:26" x14ac:dyDescent="0.2">
      <c r="A88" s="2780" t="s">
        <v>1656</v>
      </c>
      <c r="B88" s="2785"/>
      <c r="C88" s="2790"/>
      <c r="D88" s="2790"/>
      <c r="E88" s="2798">
        <f>SUM(AD56:AD61,AD64:AD77)/(Ugb_Tot-VL_UgbVL-TA_UgbVL)</f>
        <v>543.18004676539385</v>
      </c>
      <c r="F88" s="2795"/>
      <c r="G88" s="2282"/>
      <c r="H88" s="2495"/>
      <c r="I88" s="2282"/>
      <c r="J88" s="2282"/>
      <c r="K88" s="2282"/>
      <c r="L88" s="2282"/>
      <c r="M88" s="2282"/>
      <c r="N88" s="2282"/>
      <c r="O88" s="2282"/>
      <c r="P88" s="2282"/>
      <c r="Q88" s="2282"/>
      <c r="R88" s="2282"/>
      <c r="S88" s="2282"/>
      <c r="T88" s="2282"/>
      <c r="U88" s="2282"/>
      <c r="V88" s="2282"/>
      <c r="W88" s="2282"/>
      <c r="X88" s="2282"/>
      <c r="Y88" s="2282"/>
      <c r="Z88" s="2282"/>
    </row>
    <row r="89" spans="1:26" x14ac:dyDescent="0.2">
      <c r="A89" s="2548" t="s">
        <v>1325</v>
      </c>
      <c r="B89" s="2334"/>
      <c r="C89" s="2451"/>
      <c r="D89" s="2451"/>
      <c r="E89" s="2634">
        <f>SUM(AD56:AD61,AD64:AD77)/C75</f>
        <v>0.75092936802973975</v>
      </c>
      <c r="F89" s="2282"/>
      <c r="G89" s="2282"/>
      <c r="H89" s="2495"/>
      <c r="I89" s="2282"/>
      <c r="J89" s="2282"/>
      <c r="K89" s="2282"/>
      <c r="L89" s="2282"/>
      <c r="M89" s="2282"/>
      <c r="N89" s="2282"/>
      <c r="O89" s="2282"/>
      <c r="P89" s="2282"/>
      <c r="Q89" s="2282"/>
      <c r="R89" s="2282"/>
      <c r="S89" s="2282"/>
      <c r="T89" s="2282"/>
      <c r="U89" s="2282"/>
      <c r="V89" s="2282"/>
      <c r="W89" s="2282"/>
      <c r="X89" s="2282"/>
      <c r="Y89" s="2282"/>
      <c r="Z89" s="2282"/>
    </row>
    <row r="90" spans="1:26" x14ac:dyDescent="0.2">
      <c r="A90" s="2538" t="s">
        <v>1405</v>
      </c>
      <c r="B90" s="2583"/>
      <c r="C90" s="2583"/>
      <c r="D90" s="2583"/>
      <c r="E90" s="2635">
        <f>SUM(AD56:AD61,AD64:AD77)/E75</f>
        <v>1.374161852959358</v>
      </c>
      <c r="F90" s="2795" t="s">
        <v>2336</v>
      </c>
      <c r="G90" s="2282"/>
      <c r="H90" s="2495"/>
      <c r="I90" s="2282"/>
      <c r="J90" s="2282"/>
      <c r="K90" s="2282"/>
      <c r="L90" s="2282"/>
      <c r="M90" s="2282"/>
      <c r="N90" s="2282"/>
      <c r="O90" s="2282"/>
      <c r="P90" s="2282"/>
      <c r="Q90" s="2282"/>
      <c r="R90" s="2282"/>
      <c r="S90" s="2282"/>
      <c r="T90" s="2282"/>
      <c r="U90" s="2282"/>
      <c r="V90" s="2282"/>
      <c r="W90" s="2282"/>
      <c r="X90" s="2282"/>
      <c r="Y90" s="2282"/>
      <c r="Z90" s="2282"/>
    </row>
    <row r="91" spans="1:26" ht="30" customHeight="1" x14ac:dyDescent="0.2">
      <c r="A91" s="3359" t="s">
        <v>2319</v>
      </c>
      <c r="B91" s="3359"/>
      <c r="C91" s="3359"/>
      <c r="D91" s="3359"/>
      <c r="E91" s="3359"/>
      <c r="F91" s="3359"/>
      <c r="G91" s="3359"/>
      <c r="H91" s="2495"/>
      <c r="I91" s="2282"/>
      <c r="J91" s="2282"/>
      <c r="K91" s="2282"/>
      <c r="L91" s="2282"/>
      <c r="M91" s="2282"/>
      <c r="N91" s="2282"/>
      <c r="O91" s="2282"/>
      <c r="P91" s="2282"/>
      <c r="Q91" s="2282"/>
      <c r="R91" s="2282"/>
      <c r="S91" s="2282"/>
      <c r="T91" s="2282"/>
      <c r="U91" s="2282"/>
      <c r="V91" s="2282"/>
      <c r="W91" s="2282"/>
      <c r="X91" s="2282"/>
      <c r="Y91" s="2282"/>
      <c r="Z91" s="2282"/>
    </row>
    <row r="92" spans="1:26" x14ac:dyDescent="0.2">
      <c r="A92" s="2282"/>
      <c r="B92" s="2282"/>
      <c r="C92" s="2282"/>
      <c r="D92" s="2282"/>
      <c r="E92" s="2282"/>
      <c r="F92" s="2282"/>
      <c r="G92" s="2282"/>
      <c r="H92" s="2495"/>
      <c r="I92" s="2282"/>
      <c r="J92" s="2282"/>
      <c r="K92" s="2282"/>
      <c r="L92" s="2282"/>
      <c r="M92" s="2282"/>
      <c r="N92" s="2282"/>
      <c r="O92" s="2282"/>
      <c r="P92" s="2282"/>
      <c r="Q92" s="2282"/>
      <c r="R92" s="2282"/>
      <c r="S92" s="2282"/>
      <c r="T92" s="2282"/>
      <c r="U92" s="2282"/>
      <c r="V92" s="2282"/>
      <c r="W92" s="2282"/>
      <c r="X92" s="2282"/>
      <c r="Y92" s="2282"/>
      <c r="Z92" s="2282"/>
    </row>
    <row r="93" spans="1:26" ht="15" x14ac:dyDescent="0.25">
      <c r="A93" s="3370" t="s">
        <v>1602</v>
      </c>
      <c r="B93" s="3370"/>
      <c r="C93" s="3370"/>
      <c r="D93" s="3370"/>
      <c r="E93" s="3370"/>
      <c r="F93" s="3370"/>
      <c r="G93" s="3370"/>
      <c r="H93" s="2495"/>
      <c r="I93" s="2282"/>
      <c r="J93" s="2282"/>
      <c r="K93" s="2282"/>
      <c r="L93" s="2282"/>
      <c r="M93" s="2282"/>
      <c r="N93" s="2282"/>
      <c r="O93" s="2282"/>
      <c r="P93" s="2282"/>
      <c r="Q93" s="2282"/>
      <c r="R93" s="2282"/>
      <c r="S93" s="2282"/>
      <c r="T93" s="2282"/>
      <c r="U93" s="2282"/>
      <c r="V93" s="2282"/>
      <c r="W93" s="2282"/>
      <c r="X93" s="2282"/>
      <c r="Y93" s="2282"/>
      <c r="Z93" s="2282"/>
    </row>
    <row r="94" spans="1:26" s="1517" customFormat="1" ht="42" customHeight="1" x14ac:dyDescent="0.2">
      <c r="A94" s="3359" t="s">
        <v>1693</v>
      </c>
      <c r="B94" s="3359"/>
      <c r="C94" s="3359"/>
      <c r="D94" s="3359"/>
      <c r="E94" s="3359"/>
      <c r="F94" s="3359"/>
      <c r="G94" s="3359"/>
      <c r="H94" s="2522"/>
      <c r="I94" s="2523"/>
      <c r="J94" s="2523"/>
      <c r="K94" s="2523"/>
      <c r="L94" s="2523"/>
      <c r="M94" s="2523"/>
      <c r="N94" s="2523"/>
      <c r="O94" s="2523"/>
      <c r="P94" s="2523"/>
      <c r="Q94" s="2523"/>
      <c r="R94" s="2523"/>
      <c r="S94" s="2523"/>
      <c r="T94" s="2523"/>
      <c r="U94" s="2523"/>
      <c r="V94" s="2523"/>
      <c r="W94" s="2523"/>
      <c r="X94" s="2523"/>
      <c r="Y94" s="2523"/>
      <c r="Z94" s="2523"/>
    </row>
    <row r="95" spans="1:26" x14ac:dyDescent="0.2">
      <c r="A95" s="2638" t="s">
        <v>1136</v>
      </c>
      <c r="B95" s="2639"/>
      <c r="C95" s="2639"/>
      <c r="D95" s="2640" t="s">
        <v>1138</v>
      </c>
      <c r="E95" s="2640" t="s">
        <v>187</v>
      </c>
      <c r="F95" s="2641" t="s">
        <v>665</v>
      </c>
      <c r="G95" s="2282"/>
      <c r="H95" s="2495"/>
      <c r="I95" s="2282"/>
      <c r="J95" s="2282"/>
      <c r="K95" s="2282"/>
      <c r="L95" s="2282"/>
      <c r="M95" s="2282"/>
      <c r="N95" s="2282"/>
      <c r="O95" s="2282"/>
      <c r="P95" s="2282"/>
      <c r="Q95" s="2282"/>
      <c r="R95" s="2282"/>
      <c r="S95" s="2282"/>
      <c r="T95" s="2282"/>
      <c r="U95" s="2282"/>
      <c r="V95" s="2282"/>
      <c r="W95" s="2282"/>
      <c r="X95" s="2282"/>
      <c r="Y95" s="2282"/>
      <c r="Z95" s="2282"/>
    </row>
    <row r="96" spans="1:26" x14ac:dyDescent="0.2">
      <c r="A96" s="2570" t="s">
        <v>447</v>
      </c>
      <c r="B96" s="2377"/>
      <c r="C96" s="2377"/>
      <c r="D96" s="2363">
        <f>NPK_Organiques!$H$19/SA_SAUnette</f>
        <v>110.31207100591716</v>
      </c>
      <c r="E96" s="2363">
        <f>NPK_Organiques!$K$19/SA_SAUnette</f>
        <v>43.858147052377824</v>
      </c>
      <c r="F96" s="2642">
        <f>NPK_Organiques!$N$19/SA_SAUnette</f>
        <v>154.58980013149244</v>
      </c>
      <c r="G96" s="2282"/>
      <c r="H96" s="2495"/>
      <c r="I96" s="2282"/>
      <c r="J96" s="2282"/>
      <c r="K96" s="2282"/>
      <c r="L96" s="2282"/>
      <c r="M96" s="2282"/>
      <c r="N96" s="2282"/>
      <c r="O96" s="2282"/>
      <c r="P96" s="2282"/>
      <c r="Q96" s="2282"/>
      <c r="R96" s="2282"/>
      <c r="S96" s="2282"/>
      <c r="T96" s="2282"/>
      <c r="U96" s="2282"/>
      <c r="V96" s="2282"/>
      <c r="W96" s="2282"/>
      <c r="X96" s="2282"/>
      <c r="Y96" s="2282"/>
      <c r="Z96" s="2282"/>
    </row>
    <row r="97" spans="1:30" x14ac:dyDescent="0.2">
      <c r="A97" s="2570" t="s">
        <v>1417</v>
      </c>
      <c r="B97" s="2377"/>
      <c r="C97" s="2377"/>
      <c r="D97" s="2363">
        <f>NPK_Organiques!$H$19/SA_SFPc</f>
        <v>110.31207100591716</v>
      </c>
      <c r="E97" s="2363">
        <f>NPK_Organiques!$K$19/SA_SFPc</f>
        <v>43.858147052377824</v>
      </c>
      <c r="F97" s="2642">
        <f>NPK_Organiques!$N$19/SA_SFPc</f>
        <v>154.58980013149244</v>
      </c>
      <c r="G97" s="2282"/>
      <c r="H97" s="2495"/>
      <c r="I97" s="2282"/>
      <c r="J97" s="2282"/>
      <c r="K97" s="2282"/>
      <c r="L97" s="2282"/>
      <c r="M97" s="2282"/>
      <c r="N97" s="2282"/>
      <c r="O97" s="2282"/>
      <c r="P97" s="2282"/>
      <c r="Q97" s="2282"/>
      <c r="R97" s="2282"/>
      <c r="S97" s="2282"/>
      <c r="T97" s="2282"/>
      <c r="U97" s="2282"/>
      <c r="V97" s="2282"/>
      <c r="W97" s="2282"/>
      <c r="X97" s="2282"/>
      <c r="Y97" s="2282"/>
      <c r="Z97" s="2282"/>
    </row>
    <row r="98" spans="1:30" x14ac:dyDescent="0.2">
      <c r="A98" s="2570" t="s">
        <v>1139</v>
      </c>
      <c r="B98" s="2377"/>
      <c r="C98" s="2377"/>
      <c r="D98" s="2363">
        <f>NPK_Organiques!$H$19/SA_SPE</f>
        <v>134.16332960179113</v>
      </c>
      <c r="E98" s="2363">
        <f>NPK_Organiques!$K$19/SA_SPE</f>
        <v>53.340989658297353</v>
      </c>
      <c r="F98" s="2642">
        <f>NPK_Organiques!$N$19/SA_SPE</f>
        <v>188.01462178154486</v>
      </c>
      <c r="G98" s="2282"/>
      <c r="H98" s="2495"/>
      <c r="I98" s="2282"/>
      <c r="J98" s="2282"/>
      <c r="K98" s="2282"/>
      <c r="L98" s="2282"/>
      <c r="M98" s="2282"/>
      <c r="N98" s="2282"/>
      <c r="O98" s="2282"/>
      <c r="P98" s="2282"/>
      <c r="Q98" s="2282"/>
      <c r="R98" s="2282"/>
      <c r="S98" s="2282"/>
      <c r="T98" s="2282"/>
      <c r="U98" s="2282"/>
      <c r="V98" s="2282"/>
      <c r="W98" s="2282"/>
      <c r="X98" s="2282"/>
      <c r="Y98" s="2282"/>
      <c r="Z98" s="2282"/>
    </row>
    <row r="99" spans="1:30" x14ac:dyDescent="0.2">
      <c r="A99" s="2570" t="s">
        <v>1157</v>
      </c>
      <c r="B99" s="2377"/>
      <c r="C99" s="2377"/>
      <c r="D99" s="2363">
        <f>Pressions_Prairies!E8</f>
        <v>83.943901546905195</v>
      </c>
      <c r="E99" s="2363">
        <f>Pressions_Prairies!F8</f>
        <v>27.408304037844303</v>
      </c>
      <c r="F99" s="2642">
        <f>Pressions_Prairies!G8</f>
        <v>112.23772641286921</v>
      </c>
      <c r="G99" s="2282"/>
      <c r="H99" s="2495"/>
      <c r="I99" s="2282"/>
      <c r="J99" s="2282"/>
      <c r="K99" s="2282"/>
      <c r="L99" s="2282"/>
      <c r="M99" s="2282"/>
      <c r="N99" s="2282"/>
      <c r="O99" s="2282"/>
      <c r="P99" s="2282"/>
      <c r="Q99" s="2282"/>
      <c r="R99" s="2282"/>
      <c r="S99" s="2282"/>
      <c r="T99" s="2282"/>
      <c r="U99" s="2282"/>
      <c r="V99" s="2282"/>
      <c r="W99" s="2282"/>
      <c r="X99" s="2282"/>
      <c r="Y99" s="2282"/>
      <c r="Z99" s="2282"/>
    </row>
    <row r="100" spans="1:30" x14ac:dyDescent="0.2">
      <c r="A100" s="2570" t="s">
        <v>1158</v>
      </c>
      <c r="B100" s="2377"/>
      <c r="C100" s="2377"/>
      <c r="D100" s="2363">
        <f>Pressions_Prairies!E13</f>
        <v>59.888888888888886</v>
      </c>
      <c r="E100" s="2363">
        <f>Pressions_Prairies!F13</f>
        <v>18.638888888888889</v>
      </c>
      <c r="F100" s="2642">
        <f>Pressions_Prairies!G13</f>
        <v>96.555555555555557</v>
      </c>
      <c r="G100" s="2282"/>
      <c r="H100" s="2495"/>
      <c r="I100" s="2282"/>
      <c r="J100" s="2282"/>
      <c r="K100" s="2282"/>
      <c r="L100" s="2282"/>
      <c r="M100" s="2282"/>
      <c r="N100" s="2282"/>
      <c r="O100" s="2282"/>
      <c r="P100" s="2282"/>
      <c r="Q100" s="2282"/>
      <c r="R100" s="2282"/>
      <c r="S100" s="2282"/>
      <c r="T100" s="2282"/>
      <c r="U100" s="2282"/>
      <c r="V100" s="2282"/>
      <c r="W100" s="2282"/>
      <c r="X100" s="2282"/>
      <c r="Y100" s="2282"/>
      <c r="Z100" s="2282"/>
    </row>
    <row r="101" spans="1:30" x14ac:dyDescent="0.2">
      <c r="A101" s="2572" t="s">
        <v>1137</v>
      </c>
      <c r="B101" s="2643"/>
      <c r="C101" s="2643"/>
      <c r="D101" s="2571">
        <f>Pressions_Prairies!E18</f>
        <v>99.285714285714263</v>
      </c>
      <c r="E101" s="2571">
        <f>Pressions_Prairies!F18</f>
        <v>33.31507936507937</v>
      </c>
      <c r="F101" s="2644">
        <f>Pressions_Prairies!G18</f>
        <v>167.3730158730159</v>
      </c>
      <c r="G101" s="2282"/>
      <c r="H101" s="2495"/>
      <c r="I101" s="2282"/>
      <c r="J101" s="2282"/>
      <c r="K101" s="2282"/>
      <c r="L101" s="2282"/>
      <c r="M101" s="2282"/>
      <c r="N101" s="2282"/>
      <c r="O101" s="2282"/>
      <c r="P101" s="2282"/>
      <c r="Q101" s="2282"/>
      <c r="R101" s="2282"/>
      <c r="S101" s="2282"/>
      <c r="T101" s="2282"/>
      <c r="U101" s="2282"/>
      <c r="V101" s="2282"/>
      <c r="W101" s="2282"/>
      <c r="X101" s="2282"/>
      <c r="Y101" s="2282"/>
      <c r="Z101" s="2282"/>
    </row>
    <row r="102" spans="1:30" ht="65.25" customHeight="1" x14ac:dyDescent="0.2">
      <c r="A102" s="3359" t="s">
        <v>1784</v>
      </c>
      <c r="B102" s="3359"/>
      <c r="C102" s="3359"/>
      <c r="D102" s="3359"/>
      <c r="E102" s="3359"/>
      <c r="F102" s="3359"/>
      <c r="G102" s="3359"/>
      <c r="H102" s="2495"/>
      <c r="I102" s="2282"/>
      <c r="J102" s="2282"/>
      <c r="K102" s="2282"/>
      <c r="L102" s="2282"/>
      <c r="M102" s="2282"/>
      <c r="N102" s="2282"/>
      <c r="O102" s="2282"/>
      <c r="P102" s="2282"/>
      <c r="Q102" s="2282"/>
      <c r="R102" s="2282"/>
      <c r="S102" s="2282"/>
      <c r="T102" s="2282"/>
      <c r="U102" s="2282"/>
      <c r="V102" s="2282"/>
      <c r="W102" s="2282"/>
      <c r="X102" s="2282"/>
      <c r="Y102" s="2282"/>
      <c r="Z102" s="2282"/>
    </row>
    <row r="103" spans="1:30" ht="63.75" customHeight="1" x14ac:dyDescent="0.2">
      <c r="A103" s="3359" t="s">
        <v>1710</v>
      </c>
      <c r="B103" s="3359"/>
      <c r="C103" s="3359"/>
      <c r="D103" s="3359"/>
      <c r="E103" s="3359"/>
      <c r="F103" s="3359"/>
      <c r="G103" s="3359"/>
      <c r="H103" s="2495"/>
      <c r="I103" s="2282"/>
      <c r="J103" s="2282"/>
      <c r="K103" s="2282"/>
      <c r="L103" s="2282"/>
      <c r="M103" s="2282"/>
      <c r="N103" s="2282"/>
      <c r="O103" s="2282"/>
      <c r="P103" s="2282"/>
      <c r="Q103" s="2282"/>
      <c r="R103" s="2282"/>
      <c r="S103" s="2282"/>
      <c r="T103" s="2282"/>
      <c r="U103" s="2282"/>
      <c r="V103" s="2282"/>
      <c r="W103" s="2282"/>
      <c r="X103" s="2282"/>
      <c r="Y103" s="2282"/>
      <c r="Z103" s="2282"/>
    </row>
    <row r="104" spans="1:30" x14ac:dyDescent="0.2">
      <c r="A104" s="3357"/>
      <c r="B104" s="3358"/>
      <c r="C104" s="3358"/>
      <c r="D104" s="3358"/>
      <c r="E104" s="3358"/>
      <c r="F104" s="3358"/>
      <c r="G104" s="2282"/>
      <c r="H104" s="2495"/>
      <c r="I104" s="2282"/>
      <c r="J104" s="2282"/>
      <c r="K104" s="2282"/>
      <c r="L104" s="2282"/>
      <c r="M104" s="2282"/>
      <c r="N104" s="2282"/>
      <c r="O104" s="2282"/>
      <c r="P104" s="2282"/>
      <c r="Q104" s="2282"/>
      <c r="R104" s="2282"/>
      <c r="S104" s="2282"/>
      <c r="T104" s="2282"/>
      <c r="U104" s="2282"/>
      <c r="V104" s="2282"/>
      <c r="W104" s="2282"/>
      <c r="X104" s="2282"/>
      <c r="Y104" s="2282"/>
      <c r="Z104" s="2282"/>
    </row>
    <row r="105" spans="1:30" ht="15" x14ac:dyDescent="0.25">
      <c r="A105" s="3370" t="s">
        <v>1603</v>
      </c>
      <c r="B105" s="3370"/>
      <c r="C105" s="3370"/>
      <c r="D105" s="3370"/>
      <c r="E105" s="3370"/>
      <c r="F105" s="3370"/>
      <c r="G105" s="3370"/>
      <c r="H105" s="2495"/>
      <c r="I105" s="2282"/>
      <c r="J105" s="2282"/>
      <c r="K105" s="2282"/>
      <c r="L105" s="2282"/>
      <c r="M105" s="2282"/>
      <c r="N105" s="2282"/>
      <c r="O105" s="2282"/>
      <c r="P105" s="2282"/>
      <c r="Q105" s="2282"/>
      <c r="R105" s="2282"/>
      <c r="S105" s="2282"/>
      <c r="T105" s="2282"/>
      <c r="U105" s="2282"/>
      <c r="V105" s="2282"/>
      <c r="W105" s="2282"/>
      <c r="X105" s="2282"/>
      <c r="Y105" s="2282"/>
      <c r="Z105" s="2282"/>
    </row>
    <row r="106" spans="1:30" ht="5.0999999999999996" customHeight="1" x14ac:dyDescent="0.2">
      <c r="A106" s="2512"/>
      <c r="B106" s="2513"/>
      <c r="C106" s="2513"/>
      <c r="D106" s="2513"/>
      <c r="E106" s="2513"/>
      <c r="F106" s="2513"/>
      <c r="G106" s="2513"/>
      <c r="H106" s="2495"/>
      <c r="I106" s="2282"/>
      <c r="J106" s="2282"/>
      <c r="K106" s="2282"/>
      <c r="L106" s="2282"/>
      <c r="M106" s="2282"/>
      <c r="N106" s="2282"/>
      <c r="O106" s="2282"/>
      <c r="P106" s="2282"/>
      <c r="Q106" s="2282"/>
      <c r="R106" s="2282"/>
      <c r="S106" s="2282"/>
      <c r="T106" s="2282"/>
      <c r="U106" s="2282"/>
      <c r="V106" s="2282"/>
      <c r="W106" s="2282"/>
      <c r="X106" s="2282"/>
      <c r="Y106" s="2282"/>
      <c r="Z106" s="2282"/>
    </row>
    <row r="107" spans="1:30" ht="12.75" customHeight="1" x14ac:dyDescent="0.2">
      <c r="A107" s="2509" t="s">
        <v>1614</v>
      </c>
      <c r="B107" s="2513"/>
      <c r="C107" s="2513"/>
      <c r="D107" s="2513"/>
      <c r="E107" s="2513"/>
      <c r="F107" s="2513"/>
      <c r="G107" s="2513"/>
      <c r="H107" s="2495"/>
      <c r="I107" s="2282"/>
      <c r="J107" s="2282"/>
      <c r="K107" s="2282"/>
      <c r="L107" s="2282"/>
      <c r="M107" s="2282"/>
      <c r="N107" s="2282"/>
      <c r="O107" s="2282"/>
      <c r="P107" s="2282"/>
      <c r="Q107" s="2282"/>
      <c r="R107" s="2282"/>
      <c r="S107" s="2282"/>
      <c r="T107" s="2282"/>
      <c r="U107" s="2282"/>
      <c r="V107" s="2282"/>
      <c r="W107" s="2282"/>
      <c r="X107" s="2282"/>
      <c r="Y107" s="2282"/>
      <c r="Z107" s="2282"/>
    </row>
    <row r="108" spans="1:30" ht="44.25" customHeight="1" x14ac:dyDescent="0.2">
      <c r="A108" s="3359" t="s">
        <v>1711</v>
      </c>
      <c r="B108" s="3359"/>
      <c r="C108" s="3359"/>
      <c r="D108" s="3359"/>
      <c r="E108" s="3359"/>
      <c r="F108" s="3359"/>
      <c r="G108" s="3359"/>
      <c r="H108" s="2495"/>
      <c r="I108" s="2282"/>
      <c r="J108" s="2282"/>
      <c r="K108" s="2282"/>
      <c r="L108" s="2282"/>
      <c r="M108" s="2282"/>
      <c r="N108" s="2282"/>
      <c r="O108" s="2282"/>
      <c r="P108" s="2282"/>
      <c r="Q108" s="2282"/>
      <c r="R108" s="2282"/>
      <c r="S108" s="2282"/>
      <c r="T108" s="2282"/>
      <c r="U108" s="2282"/>
      <c r="V108" s="2282"/>
      <c r="W108" s="2282"/>
      <c r="X108" s="2282"/>
      <c r="Y108" s="2282"/>
      <c r="Z108" s="2282"/>
      <c r="AB108" s="1777" t="s">
        <v>1643</v>
      </c>
      <c r="AC108" s="1777" t="s">
        <v>625</v>
      </c>
      <c r="AD108" s="1777" t="s">
        <v>187</v>
      </c>
    </row>
    <row r="109" spans="1:30" ht="12.75" customHeight="1" x14ac:dyDescent="0.2">
      <c r="A109" s="3359" t="s">
        <v>1694</v>
      </c>
      <c r="B109" s="3359"/>
      <c r="C109" s="3359"/>
      <c r="D109" s="3359"/>
      <c r="E109" s="3359"/>
      <c r="F109" s="3359"/>
      <c r="G109" s="3359"/>
      <c r="H109" s="2495"/>
      <c r="I109" s="2282"/>
      <c r="J109" s="2282"/>
      <c r="K109" s="2282"/>
      <c r="L109" s="2282"/>
      <c r="M109" s="2282"/>
      <c r="N109" s="2282"/>
      <c r="O109" s="2282"/>
      <c r="P109" s="2282"/>
      <c r="Q109" s="2282"/>
      <c r="R109" s="2282"/>
      <c r="S109" s="2282"/>
      <c r="T109" s="2282"/>
      <c r="U109" s="2282"/>
      <c r="V109" s="2282"/>
      <c r="W109" s="2282"/>
      <c r="X109" s="2282"/>
      <c r="Y109" s="2282"/>
      <c r="Z109" s="2282"/>
      <c r="AB109" s="1369">
        <v>1</v>
      </c>
      <c r="AC109" s="1779">
        <f>NPK_Organiques!F21</f>
        <v>4582.5449503130094</v>
      </c>
      <c r="AD109" s="1779">
        <f>NPK_Organiques!I21</f>
        <v>2199.5006630633857</v>
      </c>
    </row>
    <row r="110" spans="1:30" ht="12.75" customHeight="1" x14ac:dyDescent="0.2">
      <c r="A110" s="2645"/>
      <c r="B110" s="2646" t="s">
        <v>1350</v>
      </c>
      <c r="C110" s="2647" t="s">
        <v>625</v>
      </c>
      <c r="D110" s="2648" t="s">
        <v>187</v>
      </c>
      <c r="E110" s="2513"/>
      <c r="F110" s="2282"/>
      <c r="G110" s="2282"/>
      <c r="H110" s="2495"/>
      <c r="I110" s="2282"/>
      <c r="J110" s="2282"/>
      <c r="K110" s="2282"/>
      <c r="L110" s="2282"/>
      <c r="M110" s="2282"/>
      <c r="N110" s="2282"/>
      <c r="O110" s="2282"/>
      <c r="P110" s="2282"/>
      <c r="Q110" s="2282"/>
      <c r="R110" s="2282"/>
      <c r="S110" s="2282"/>
      <c r="T110" s="2282"/>
      <c r="U110" s="2282"/>
      <c r="V110" s="2282"/>
      <c r="W110" s="2282"/>
      <c r="X110" s="2282"/>
      <c r="Y110" s="2282"/>
      <c r="Z110" s="2282"/>
      <c r="AB110" s="1369">
        <v>2</v>
      </c>
      <c r="AC110" s="1779">
        <f>Plan_Epandage!F34</f>
        <v>4582.5449503130094</v>
      </c>
      <c r="AD110" s="1779">
        <f>IF(ISERROR(Plan_Epandage!L34),0,Plan_Epandage!L34)</f>
        <v>0</v>
      </c>
    </row>
    <row r="111" spans="1:30" ht="12.75" customHeight="1" x14ac:dyDescent="0.2">
      <c r="A111" s="2649"/>
      <c r="B111" s="2650" t="s">
        <v>447</v>
      </c>
      <c r="C111" s="2651">
        <f>AC117/SA_SAUnette</f>
        <v>110.31207100591716</v>
      </c>
      <c r="D111" s="2652">
        <f>AD117/SA_SAUnette</f>
        <v>43.858147052377831</v>
      </c>
      <c r="E111" s="2513"/>
      <c r="F111" s="2282"/>
      <c r="G111" s="2282"/>
      <c r="H111" s="2495"/>
      <c r="I111" s="2282"/>
      <c r="J111" s="2282"/>
      <c r="K111" s="2282"/>
      <c r="L111" s="2282"/>
      <c r="M111" s="2282"/>
      <c r="N111" s="2282"/>
      <c r="O111" s="2282"/>
      <c r="P111" s="2282"/>
      <c r="Q111" s="2282"/>
      <c r="R111" s="2282"/>
      <c r="S111" s="2282"/>
      <c r="T111" s="2282"/>
      <c r="U111" s="2282"/>
      <c r="V111" s="2282"/>
      <c r="W111" s="2282"/>
      <c r="X111" s="2282"/>
      <c r="Y111" s="2282"/>
      <c r="Z111" s="2282"/>
      <c r="AA111" s="1337">
        <f>IF(Plan_Epandage!D6&gt;170,100,0)</f>
        <v>0</v>
      </c>
      <c r="AB111" s="1369">
        <v>3</v>
      </c>
      <c r="AC111" s="1779">
        <f>Plan_Epandage!F44</f>
        <v>4582.5449503130094</v>
      </c>
      <c r="AD111" s="1779">
        <f>IF(ISERROR(Plan_Epandage!L44),0,Plan_Epandage!L44)</f>
        <v>0</v>
      </c>
    </row>
    <row r="112" spans="1:30" ht="12.75" customHeight="1" x14ac:dyDescent="0.2">
      <c r="A112" s="2649"/>
      <c r="B112" s="2653" t="s">
        <v>449</v>
      </c>
      <c r="C112" s="2651">
        <f>AC117/SA_SFPc</f>
        <v>110.31207100591716</v>
      </c>
      <c r="D112" s="2652">
        <f>AD117/SA_SFPc</f>
        <v>43.858147052377831</v>
      </c>
      <c r="E112" s="2513"/>
      <c r="F112" s="2513"/>
      <c r="G112" s="2513"/>
      <c r="H112" s="2495"/>
      <c r="I112" s="2282"/>
      <c r="J112" s="2282"/>
      <c r="K112" s="2282"/>
      <c r="L112" s="2282"/>
      <c r="M112" s="2282"/>
      <c r="N112" s="2282"/>
      <c r="O112" s="2282"/>
      <c r="P112" s="2282"/>
      <c r="Q112" s="2282"/>
      <c r="R112" s="2282"/>
      <c r="S112" s="2282"/>
      <c r="T112" s="2282"/>
      <c r="U112" s="2282"/>
      <c r="V112" s="2282"/>
      <c r="W112" s="2282"/>
      <c r="X112" s="2282"/>
      <c r="Y112" s="2282"/>
      <c r="Z112" s="2282"/>
      <c r="AA112" s="1337">
        <f>AA111+NonExced</f>
        <v>1</v>
      </c>
      <c r="AB112" s="1369">
        <v>100</v>
      </c>
      <c r="AC112" s="1779">
        <f>Plan_Epandage!$F$93</f>
        <v>-5345.5414402195347</v>
      </c>
      <c r="AD112" s="1779">
        <f>IF(ISERROR(Plan_Epandage!$L$93),0,Plan_Epandage!$L$93)</f>
        <v>0</v>
      </c>
    </row>
    <row r="113" spans="1:30" ht="12.75" customHeight="1" x14ac:dyDescent="0.2">
      <c r="A113" s="2649"/>
      <c r="B113" s="2653" t="s">
        <v>1027</v>
      </c>
      <c r="C113" s="2651">
        <f>AC117/SA_SPE</f>
        <v>134.16332960179113</v>
      </c>
      <c r="D113" s="2652">
        <f>AD117/SA_SPE</f>
        <v>53.34098965829736</v>
      </c>
      <c r="E113" s="2513"/>
      <c r="F113" s="2513"/>
      <c r="G113" s="2513"/>
      <c r="H113" s="2495"/>
      <c r="I113" s="2282"/>
      <c r="J113" s="2282"/>
      <c r="K113" s="2282"/>
      <c r="L113" s="2282"/>
      <c r="M113" s="2282"/>
      <c r="N113" s="2282"/>
      <c r="O113" s="2282"/>
      <c r="P113" s="2282"/>
      <c r="Q113" s="2282"/>
      <c r="R113" s="2282"/>
      <c r="S113" s="2282"/>
      <c r="T113" s="2282"/>
      <c r="U113" s="2282"/>
      <c r="V113" s="2282"/>
      <c r="W113" s="2282"/>
      <c r="X113" s="2282"/>
      <c r="Y113" s="2282"/>
      <c r="Z113" s="2282"/>
      <c r="AB113" s="1369">
        <v>101</v>
      </c>
      <c r="AC113" s="1779">
        <f>Plan_Epandage!$F$93</f>
        <v>-5345.5414402195347</v>
      </c>
      <c r="AD113" s="1779">
        <f>IF(ISERROR(Plan_Epandage!$L$93),0,Plan_Epandage!$L$93)</f>
        <v>0</v>
      </c>
    </row>
    <row r="114" spans="1:30" ht="12.75" customHeight="1" x14ac:dyDescent="0.2">
      <c r="A114" s="2654"/>
      <c r="B114" s="2655" t="s">
        <v>1644</v>
      </c>
      <c r="C114" s="2656">
        <f>NPK_Organiques!G21/SA_SFP_Herbe</f>
        <v>82.239099080300534</v>
      </c>
      <c r="D114" s="2657">
        <f>NPK_Organiques!J21/SA_SFP_Herbe</f>
        <v>26.888193410009517</v>
      </c>
      <c r="E114" s="2513"/>
      <c r="F114" s="2513"/>
      <c r="G114" s="2513"/>
      <c r="H114" s="2495"/>
      <c r="I114" s="2282"/>
      <c r="J114" s="2282"/>
      <c r="K114" s="2282"/>
      <c r="L114" s="2282"/>
      <c r="M114" s="2282"/>
      <c r="N114" s="2282"/>
      <c r="O114" s="2282"/>
      <c r="P114" s="2282"/>
      <c r="Q114" s="2282"/>
      <c r="R114" s="2282"/>
      <c r="S114" s="2282"/>
      <c r="T114" s="2282"/>
      <c r="U114" s="2282"/>
      <c r="V114" s="2282"/>
      <c r="W114" s="2282"/>
      <c r="X114" s="2282"/>
      <c r="Y114" s="2282"/>
      <c r="Z114" s="2282"/>
      <c r="AB114" s="1369">
        <v>102</v>
      </c>
      <c r="AC114" s="1779">
        <f>Plan_Epandage!$F$93</f>
        <v>-5345.5414402195347</v>
      </c>
      <c r="AD114" s="1779">
        <f>IF(ISERROR(Plan_Epandage!$L$93),0,Plan_Epandage!$L$93)</f>
        <v>0</v>
      </c>
    </row>
    <row r="115" spans="1:30" ht="5.0999999999999996" customHeight="1" x14ac:dyDescent="0.2">
      <c r="A115" s="2512"/>
      <c r="B115" s="2513"/>
      <c r="C115" s="2513"/>
      <c r="D115" s="2513"/>
      <c r="E115" s="2513"/>
      <c r="F115" s="2513"/>
      <c r="G115" s="2513"/>
      <c r="H115" s="2495"/>
      <c r="I115" s="2282"/>
      <c r="J115" s="2282"/>
      <c r="K115" s="2282"/>
      <c r="L115" s="2282"/>
      <c r="M115" s="2282"/>
      <c r="N115" s="2282"/>
      <c r="O115" s="2282"/>
      <c r="P115" s="2282"/>
      <c r="Q115" s="2282"/>
      <c r="R115" s="2282"/>
      <c r="S115" s="2282"/>
      <c r="T115" s="2282"/>
      <c r="U115" s="2282"/>
      <c r="V115" s="2282"/>
      <c r="W115" s="2282"/>
      <c r="X115" s="2282"/>
      <c r="Y115" s="2282"/>
      <c r="Z115" s="2282"/>
      <c r="AB115" s="1369">
        <v>103</v>
      </c>
      <c r="AC115" s="1779">
        <f>Plan_Epandage!$F$93</f>
        <v>-5345.5414402195347</v>
      </c>
      <c r="AD115" s="1779">
        <f>IF(ISERROR(Plan_Epandage!$L$93),0,Plan_Epandage!$L$93)</f>
        <v>0</v>
      </c>
    </row>
    <row r="116" spans="1:30" ht="12.75" customHeight="1" x14ac:dyDescent="0.2">
      <c r="A116" s="2509" t="s">
        <v>1613</v>
      </c>
      <c r="B116" s="2513"/>
      <c r="C116" s="2513"/>
      <c r="D116" s="2513"/>
      <c r="E116" s="2513"/>
      <c r="F116" s="2513"/>
      <c r="G116" s="2513"/>
      <c r="H116" s="2495"/>
      <c r="I116" s="2282"/>
      <c r="J116" s="2282"/>
      <c r="K116" s="2282"/>
      <c r="L116" s="2282"/>
      <c r="M116" s="2282"/>
      <c r="N116" s="2282"/>
      <c r="O116" s="2282"/>
      <c r="P116" s="2282"/>
      <c r="Q116" s="2282"/>
      <c r="R116" s="2282"/>
      <c r="S116" s="2282"/>
      <c r="T116" s="2282"/>
      <c r="U116" s="2282"/>
      <c r="V116" s="2282"/>
      <c r="W116" s="2282"/>
      <c r="X116" s="2282"/>
      <c r="Y116" s="2282"/>
      <c r="Z116" s="2282"/>
      <c r="AB116" s="1780" t="s">
        <v>1483</v>
      </c>
      <c r="AC116" s="1776">
        <f>VLOOKUP($AA$112,$AB$109:$AD$115,2,FALSE)</f>
        <v>4582.5449503130094</v>
      </c>
      <c r="AD116" s="1790">
        <f>VLOOKUP($AA$112,$AB$109:$AD$115,3,FALSE)</f>
        <v>2199.5006630633857</v>
      </c>
    </row>
    <row r="117" spans="1:30" ht="30.75" customHeight="1" x14ac:dyDescent="0.2">
      <c r="A117" s="3359" t="s">
        <v>2305</v>
      </c>
      <c r="B117" s="3359"/>
      <c r="C117" s="3359"/>
      <c r="D117" s="3359"/>
      <c r="E117" s="3359"/>
      <c r="F117" s="3359"/>
      <c r="G117" s="3359"/>
      <c r="H117" s="2495"/>
      <c r="I117" s="2282"/>
      <c r="J117" s="2282"/>
      <c r="K117" s="2282"/>
      <c r="L117" s="2282"/>
      <c r="M117" s="2282"/>
      <c r="N117" s="2282"/>
      <c r="O117" s="2282"/>
      <c r="P117" s="2282"/>
      <c r="Q117" s="2282"/>
      <c r="R117" s="2282"/>
      <c r="S117" s="2282"/>
      <c r="T117" s="2282"/>
      <c r="U117" s="2282"/>
      <c r="V117" s="2282"/>
      <c r="W117" s="2282"/>
      <c r="X117" s="2282"/>
      <c r="Y117" s="2282"/>
      <c r="Z117" s="2282"/>
      <c r="AB117" s="1781" t="s">
        <v>1646</v>
      </c>
      <c r="AC117" s="1782">
        <f>AC116+NPK_Organiques!G21</f>
        <v>9928.0863905325441</v>
      </c>
      <c r="AD117" s="1782">
        <f>AD116+NPK_Organiques!J21</f>
        <v>3947.2332347140045</v>
      </c>
    </row>
    <row r="118" spans="1:30" ht="12.75" customHeight="1" x14ac:dyDescent="0.2">
      <c r="A118" s="2496"/>
      <c r="B118" s="2515"/>
      <c r="C118" s="2515"/>
      <c r="D118" s="2515"/>
      <c r="E118" s="2658" t="s">
        <v>625</v>
      </c>
      <c r="F118" s="2659" t="s">
        <v>187</v>
      </c>
      <c r="G118" s="2660"/>
      <c r="H118" s="2495"/>
      <c r="I118" s="2282"/>
      <c r="J118" s="2282"/>
      <c r="K118" s="2282"/>
      <c r="L118" s="2282"/>
      <c r="M118" s="2282"/>
      <c r="N118" s="2282"/>
      <c r="O118" s="2282"/>
      <c r="P118" s="2282"/>
      <c r="Q118" s="2282"/>
      <c r="R118" s="2282"/>
      <c r="S118" s="2282"/>
      <c r="T118" s="2282"/>
      <c r="U118" s="2282"/>
      <c r="V118" s="2282"/>
      <c r="W118" s="2282"/>
      <c r="X118" s="2282"/>
      <c r="Y118" s="2282"/>
      <c r="Z118" s="2282"/>
    </row>
    <row r="119" spans="1:30" ht="12.75" customHeight="1" x14ac:dyDescent="0.2">
      <c r="A119" s="2661" t="s">
        <v>1657</v>
      </c>
      <c r="B119" s="2557"/>
      <c r="C119" s="2557"/>
      <c r="D119" s="2662"/>
      <c r="E119" s="2663">
        <f>Ferti_SAU!C27+Ferti_SAU!F27+0.25*NPK_Organiques!G19</f>
        <v>7815.3853600548837</v>
      </c>
      <c r="F119" s="2664">
        <f>Ferti_SAU!D27+Ferti_SAU!G27+0.8*NPK_Organiques!J19</f>
        <v>7152.1860573204949</v>
      </c>
      <c r="G119" s="2665" t="s">
        <v>1237</v>
      </c>
      <c r="H119" s="2495"/>
      <c r="I119" s="2282"/>
      <c r="J119" s="2282"/>
      <c r="K119" s="2282"/>
      <c r="L119" s="2282"/>
      <c r="M119" s="2282"/>
      <c r="N119" s="2282"/>
      <c r="O119" s="2282"/>
      <c r="P119" s="2282"/>
      <c r="Q119" s="2282"/>
      <c r="R119" s="2282"/>
      <c r="S119" s="2282"/>
      <c r="T119" s="2282"/>
      <c r="U119" s="2282"/>
      <c r="V119" s="2282"/>
      <c r="W119" s="2282"/>
      <c r="X119" s="2282"/>
      <c r="Y119" s="2282"/>
      <c r="Z119" s="2282"/>
    </row>
    <row r="120" spans="1:30" ht="12.75" customHeight="1" x14ac:dyDescent="0.2">
      <c r="A120" s="2666" t="s">
        <v>1645</v>
      </c>
      <c r="B120" s="2486"/>
      <c r="C120" s="2486"/>
      <c r="D120" s="2667"/>
      <c r="E120" s="2668">
        <f>Autonomie!K55+Achats!G93+Achats!G110</f>
        <v>15200.395000000002</v>
      </c>
      <c r="F120" s="2668">
        <f>Autonomie!L55+Achats!H93+Achats!H110</f>
        <v>4694.6275000000005</v>
      </c>
      <c r="G120" s="2669" t="s">
        <v>1237</v>
      </c>
      <c r="H120" s="2495"/>
      <c r="I120" s="2282"/>
      <c r="J120" s="2282"/>
      <c r="K120" s="2282"/>
      <c r="L120" s="2282"/>
      <c r="M120" s="2282"/>
      <c r="N120" s="2282"/>
      <c r="O120" s="2282"/>
      <c r="P120" s="2282"/>
      <c r="Q120" s="2282"/>
      <c r="R120" s="2282"/>
      <c r="S120" s="2282"/>
      <c r="T120" s="2282"/>
      <c r="U120" s="2282"/>
      <c r="V120" s="2282"/>
      <c r="W120" s="2282"/>
      <c r="X120" s="2282"/>
      <c r="Y120" s="2282"/>
      <c r="Z120" s="2282"/>
    </row>
    <row r="121" spans="1:30" ht="12.75" customHeight="1" x14ac:dyDescent="0.2">
      <c r="A121" s="2666" t="str">
        <f>"N "&amp;AB121&amp;" par le sol; P2O5 "&amp;AC121&amp;" par le sol"</f>
        <v>N fourni par le sol; P2O5 stocké par le sol</v>
      </c>
      <c r="B121" s="2486"/>
      <c r="C121" s="2486"/>
      <c r="D121" s="2670"/>
      <c r="E121" s="2671">
        <f>ABS(E120-E119)</f>
        <v>7385.0096399451186</v>
      </c>
      <c r="F121" s="2671">
        <f>ABS(F120-F119)</f>
        <v>2457.5585573204944</v>
      </c>
      <c r="G121" s="2669" t="s">
        <v>1237</v>
      </c>
      <c r="H121" s="2495"/>
      <c r="I121" s="2282"/>
      <c r="J121" s="2282"/>
      <c r="K121" s="2282"/>
      <c r="L121" s="2282"/>
      <c r="M121" s="2282"/>
      <c r="N121" s="2282"/>
      <c r="O121" s="2282"/>
      <c r="P121" s="2282"/>
      <c r="Q121" s="2282"/>
      <c r="R121" s="2282"/>
      <c r="S121" s="2282"/>
      <c r="T121" s="2282"/>
      <c r="U121" s="2282"/>
      <c r="V121" s="2282"/>
      <c r="W121" s="2282"/>
      <c r="X121" s="2282"/>
      <c r="Y121" s="2282"/>
      <c r="Z121" s="2282"/>
      <c r="AB121" t="str">
        <f>IF(E120-E119&gt;=0,"fourni","stocké")</f>
        <v>fourni</v>
      </c>
      <c r="AC121" t="str">
        <f>IF(F120-F119&gt;=0,"fourni","stocké")</f>
        <v>stocké</v>
      </c>
    </row>
    <row r="122" spans="1:30" ht="12.75" customHeight="1" x14ac:dyDescent="0.2">
      <c r="A122" s="2672" t="s">
        <v>1674</v>
      </c>
      <c r="B122" s="2612"/>
      <c r="C122" s="2612"/>
      <c r="D122" s="2673"/>
      <c r="E122" s="2674">
        <f>E121/SA_SFPc</f>
        <v>82.055662666056875</v>
      </c>
      <c r="F122" s="2674">
        <f>F121/SA_SFPc</f>
        <v>27.306206192449938</v>
      </c>
      <c r="G122" s="2675" t="s">
        <v>1979</v>
      </c>
      <c r="H122" s="2495"/>
      <c r="I122" s="2282"/>
      <c r="J122" s="2282"/>
      <c r="K122" s="2282"/>
      <c r="L122" s="2282"/>
      <c r="M122" s="2282"/>
      <c r="N122" s="2282"/>
      <c r="O122" s="2282"/>
      <c r="P122" s="2282"/>
      <c r="Q122" s="2282"/>
      <c r="R122" s="2282"/>
      <c r="S122" s="2282"/>
      <c r="T122" s="2282"/>
      <c r="U122" s="2282"/>
      <c r="V122" s="2282"/>
      <c r="W122" s="2282"/>
      <c r="X122" s="2282"/>
      <c r="Y122" s="2282"/>
      <c r="Z122" s="2282"/>
    </row>
    <row r="123" spans="1:30" ht="5.0999999999999996" customHeight="1" x14ac:dyDescent="0.2">
      <c r="A123" s="2516"/>
      <c r="B123" s="2495"/>
      <c r="C123" s="2495"/>
      <c r="D123" s="2513"/>
      <c r="E123" s="2676"/>
      <c r="F123" s="2676"/>
      <c r="G123" s="2513"/>
      <c r="H123" s="2495"/>
      <c r="I123" s="2282"/>
      <c r="J123" s="2282"/>
      <c r="K123" s="2282"/>
      <c r="L123" s="2282"/>
      <c r="M123" s="2282"/>
      <c r="N123" s="2282"/>
      <c r="O123" s="2282"/>
      <c r="P123" s="2282"/>
      <c r="Q123" s="2282"/>
      <c r="R123" s="2282"/>
      <c r="S123" s="2282"/>
      <c r="T123" s="2282"/>
      <c r="U123" s="2282"/>
      <c r="V123" s="2282"/>
      <c r="W123" s="2282"/>
      <c r="X123" s="2282"/>
      <c r="Y123" s="2282"/>
      <c r="Z123" s="2282"/>
    </row>
    <row r="124" spans="1:30" ht="62.25" customHeight="1" x14ac:dyDescent="0.2">
      <c r="A124" s="3359" t="s">
        <v>2412</v>
      </c>
      <c r="B124" s="3359"/>
      <c r="C124" s="3359"/>
      <c r="D124" s="3359"/>
      <c r="E124" s="3359"/>
      <c r="F124" s="3359"/>
      <c r="G124" s="3359"/>
      <c r="H124" s="2495"/>
      <c r="I124" s="2282"/>
      <c r="J124" s="2282"/>
      <c r="K124" s="2282"/>
      <c r="L124" s="2282"/>
      <c r="M124" s="2282"/>
      <c r="N124" s="2282"/>
      <c r="O124" s="2282"/>
      <c r="P124" s="2282"/>
      <c r="Q124" s="2282"/>
      <c r="R124" s="2282"/>
      <c r="S124" s="2282"/>
      <c r="T124" s="2282"/>
      <c r="U124" s="2282"/>
      <c r="V124" s="2282"/>
      <c r="W124" s="2282"/>
      <c r="X124" s="2282"/>
      <c r="Y124" s="2282"/>
      <c r="Z124" s="2282"/>
    </row>
    <row r="125" spans="1:30" ht="12.75" customHeight="1" x14ac:dyDescent="0.2">
      <c r="A125" s="2514"/>
      <c r="B125" s="2515"/>
      <c r="C125" s="2677" t="s">
        <v>2306</v>
      </c>
      <c r="D125" s="2678"/>
      <c r="E125" s="2647" t="s">
        <v>625</v>
      </c>
      <c r="F125" s="2648" t="s">
        <v>187</v>
      </c>
      <c r="G125" s="2687"/>
      <c r="H125" s="2495"/>
      <c r="I125" s="2282"/>
      <c r="J125" s="2282"/>
      <c r="K125" s="2282"/>
      <c r="L125" s="2282"/>
      <c r="M125" s="2282"/>
      <c r="N125" s="2282"/>
      <c r="O125" s="2282"/>
      <c r="P125" s="2282"/>
      <c r="Q125" s="2282"/>
      <c r="R125" s="2282"/>
      <c r="S125" s="2282"/>
      <c r="T125" s="2282"/>
      <c r="U125" s="2282"/>
      <c r="V125" s="2282"/>
      <c r="W125" s="2282"/>
      <c r="X125" s="2282"/>
      <c r="Y125" s="2282"/>
      <c r="Z125" s="2282"/>
    </row>
    <row r="126" spans="1:30" ht="12.75" customHeight="1" x14ac:dyDescent="0.2">
      <c r="A126" s="2516"/>
      <c r="B126" s="2495"/>
      <c r="C126" s="2679" t="s">
        <v>2440</v>
      </c>
      <c r="D126" s="2680"/>
      <c r="E126" s="2681">
        <f>Ferti_SAU!C55/(Autonomie!K55+Achats!G93+Achats!G110)</f>
        <v>0.15627129163780831</v>
      </c>
      <c r="F126" s="2682">
        <f>Ferti_SAU!D55/(Autonomie!L55+Achats!H93+Achats!H110)</f>
        <v>0.76836470142103808</v>
      </c>
      <c r="G126" s="2687"/>
      <c r="H126" s="2495"/>
      <c r="I126" s="2282"/>
      <c r="J126" s="2282"/>
      <c r="K126" s="2282"/>
      <c r="L126" s="2282"/>
      <c r="M126" s="2282"/>
      <c r="N126" s="2282"/>
      <c r="O126" s="2282"/>
      <c r="P126" s="2282"/>
      <c r="Q126" s="2282"/>
      <c r="R126" s="2282"/>
      <c r="S126" s="2282"/>
      <c r="T126" s="2282"/>
      <c r="U126" s="2282"/>
      <c r="V126" s="2282"/>
      <c r="W126" s="2282"/>
      <c r="X126" s="2282"/>
      <c r="Y126" s="2282"/>
      <c r="Z126" s="2282"/>
    </row>
    <row r="127" spans="1:30" ht="12.75" customHeight="1" x14ac:dyDescent="0.2">
      <c r="A127" s="2516"/>
      <c r="B127" s="2495"/>
      <c r="C127" s="2683" t="s">
        <v>2441</v>
      </c>
      <c r="D127" s="2684"/>
      <c r="E127" s="2685">
        <f>NPK_Organiques!H19/(Autonomie!K55+Achats!G93+Achats!G110)</f>
        <v>0.65314660510681088</v>
      </c>
      <c r="F127" s="2686">
        <f>NPK_Organiques!K19/(Autonomie!L55+Achats!H93+Achats!H110)</f>
        <v>0.84079796207771618</v>
      </c>
      <c r="G127" s="2687"/>
      <c r="H127" s="2495"/>
      <c r="I127" s="2282"/>
      <c r="J127" s="2282"/>
      <c r="K127" s="2282"/>
      <c r="L127" s="2282"/>
      <c r="M127" s="2282"/>
      <c r="N127" s="2282"/>
      <c r="O127" s="2282"/>
      <c r="P127" s="2282"/>
      <c r="Q127" s="2282"/>
      <c r="R127" s="2282"/>
      <c r="S127" s="2282"/>
      <c r="T127" s="2282"/>
      <c r="U127" s="2282"/>
      <c r="V127" s="2282"/>
      <c r="W127" s="2282"/>
      <c r="X127" s="2282"/>
      <c r="Y127" s="2282"/>
      <c r="Z127" s="2282"/>
    </row>
    <row r="128" spans="1:30" ht="57.75" customHeight="1" x14ac:dyDescent="0.2">
      <c r="A128" s="3371" t="s">
        <v>2376</v>
      </c>
      <c r="B128" s="3371"/>
      <c r="C128" s="3371"/>
      <c r="D128" s="3371"/>
      <c r="E128" s="3371"/>
      <c r="F128" s="3371"/>
      <c r="G128" s="3371"/>
      <c r="H128" s="2495"/>
      <c r="I128" s="2282"/>
      <c r="J128" s="2282"/>
      <c r="K128" s="2282"/>
      <c r="L128" s="2282"/>
      <c r="M128" s="2282"/>
      <c r="N128" s="2282"/>
      <c r="O128" s="2282"/>
      <c r="P128" s="2282"/>
      <c r="Q128" s="2282"/>
      <c r="R128" s="2282"/>
      <c r="S128" s="2282"/>
      <c r="T128" s="2282"/>
      <c r="U128" s="2282"/>
      <c r="V128" s="2282"/>
      <c r="W128" s="2282"/>
      <c r="X128" s="2282"/>
      <c r="Y128" s="2282"/>
      <c r="Z128" s="2282"/>
    </row>
    <row r="129" spans="1:26" s="1990" customFormat="1" ht="19.5" customHeight="1" x14ac:dyDescent="0.2">
      <c r="A129" s="3371" t="s">
        <v>1611</v>
      </c>
      <c r="B129" s="3371"/>
      <c r="C129" s="3371"/>
      <c r="D129" s="3371"/>
      <c r="E129" s="3371"/>
      <c r="F129" s="3371"/>
      <c r="G129" s="3371"/>
      <c r="H129" s="2526"/>
      <c r="I129" s="2494"/>
      <c r="J129" s="2494"/>
      <c r="K129" s="2494"/>
      <c r="L129" s="2494"/>
      <c r="M129" s="2494"/>
      <c r="N129" s="2494"/>
      <c r="O129" s="2494"/>
      <c r="P129" s="2494"/>
      <c r="Q129" s="2494"/>
      <c r="R129" s="2494"/>
      <c r="S129" s="2494"/>
      <c r="T129" s="2494"/>
      <c r="U129" s="2494"/>
      <c r="V129" s="2494"/>
      <c r="W129" s="2494"/>
      <c r="X129" s="2494"/>
      <c r="Y129" s="2494"/>
      <c r="Z129" s="2494"/>
    </row>
    <row r="130" spans="1:26" ht="12.75" customHeight="1" x14ac:dyDescent="0.2">
      <c r="A130" s="2512"/>
      <c r="B130" s="2513"/>
      <c r="C130" s="2513"/>
      <c r="D130" s="2513"/>
      <c r="E130" s="2513"/>
      <c r="F130" s="2513"/>
      <c r="G130" s="2513"/>
      <c r="H130" s="2495"/>
      <c r="I130" s="2282"/>
      <c r="J130" s="2282"/>
      <c r="K130" s="2282"/>
      <c r="L130" s="2282"/>
      <c r="M130" s="2282"/>
      <c r="N130" s="2282"/>
      <c r="O130" s="2282"/>
      <c r="P130" s="2282"/>
      <c r="Q130" s="2282"/>
      <c r="R130" s="2282"/>
      <c r="S130" s="2282"/>
      <c r="T130" s="2282"/>
      <c r="U130" s="2282"/>
      <c r="V130" s="2282"/>
      <c r="W130" s="2282"/>
      <c r="X130" s="2282"/>
      <c r="Y130" s="2282"/>
      <c r="Z130" s="2282"/>
    </row>
    <row r="131" spans="1:26" ht="15" x14ac:dyDescent="0.25">
      <c r="A131" s="3370" t="s">
        <v>1604</v>
      </c>
      <c r="B131" s="3370"/>
      <c r="C131" s="3370"/>
      <c r="D131" s="3370"/>
      <c r="E131" s="3370"/>
      <c r="F131" s="3370"/>
      <c r="G131" s="3370"/>
      <c r="H131" s="2495"/>
      <c r="I131" s="2282"/>
      <c r="J131" s="2282"/>
      <c r="K131" s="2282"/>
      <c r="L131" s="2282"/>
      <c r="M131" s="2282"/>
      <c r="N131" s="2282"/>
      <c r="O131" s="2282"/>
      <c r="P131" s="2282"/>
      <c r="Q131" s="2282"/>
      <c r="R131" s="2282"/>
      <c r="S131" s="2282"/>
      <c r="T131" s="2282"/>
      <c r="U131" s="2282"/>
      <c r="V131" s="2282"/>
      <c r="W131" s="2282"/>
      <c r="X131" s="2282"/>
      <c r="Y131" s="2282"/>
      <c r="Z131" s="2282"/>
    </row>
    <row r="132" spans="1:26" s="2" customFormat="1" ht="66" customHeight="1" x14ac:dyDescent="0.2">
      <c r="A132" s="3118" t="s">
        <v>2442</v>
      </c>
      <c r="B132" s="3118"/>
      <c r="C132" s="3118"/>
      <c r="D132" s="3118"/>
      <c r="E132" s="3118"/>
      <c r="F132" s="3118"/>
      <c r="G132" s="3118"/>
      <c r="H132" s="2496"/>
      <c r="I132" s="2497"/>
      <c r="J132" s="2497"/>
      <c r="K132" s="2497"/>
      <c r="L132" s="2497"/>
      <c r="M132" s="2497"/>
      <c r="N132" s="2497"/>
      <c r="O132" s="2497"/>
      <c r="P132" s="2497"/>
      <c r="Q132" s="2497"/>
      <c r="R132" s="2497"/>
      <c r="S132" s="2497"/>
      <c r="T132" s="2497"/>
      <c r="U132" s="2497"/>
      <c r="V132" s="2497"/>
      <c r="W132" s="2497"/>
      <c r="X132" s="2497"/>
      <c r="Y132" s="2497"/>
      <c r="Z132" s="2497"/>
    </row>
    <row r="133" spans="1:26" s="2" customFormat="1" ht="15" customHeight="1" x14ac:dyDescent="0.2">
      <c r="A133" s="2509" t="s">
        <v>1612</v>
      </c>
      <c r="B133" s="2510"/>
      <c r="C133" s="2510"/>
      <c r="D133" s="2510"/>
      <c r="E133" s="2510"/>
      <c r="F133" s="2510"/>
      <c r="G133" s="2510"/>
      <c r="H133" s="2496"/>
      <c r="I133" s="2497"/>
      <c r="J133" s="2497"/>
      <c r="K133" s="2497"/>
      <c r="L133" s="2497"/>
      <c r="M133" s="2497"/>
      <c r="N133" s="2497"/>
      <c r="O133" s="2497"/>
      <c r="P133" s="2497"/>
      <c r="Q133" s="2497"/>
      <c r="R133" s="2497"/>
      <c r="S133" s="2497"/>
      <c r="T133" s="2497"/>
      <c r="U133" s="2497"/>
      <c r="V133" s="2497"/>
      <c r="W133" s="2497"/>
      <c r="X133" s="2497"/>
      <c r="Y133" s="2497"/>
      <c r="Z133" s="2497"/>
    </row>
    <row r="134" spans="1:26" s="1517" customFormat="1" ht="26.25" customHeight="1" x14ac:dyDescent="0.2">
      <c r="A134" s="3118" t="s">
        <v>1712</v>
      </c>
      <c r="B134" s="3118"/>
      <c r="C134" s="3118"/>
      <c r="D134" s="3118"/>
      <c r="E134" s="3118"/>
      <c r="F134" s="3118"/>
      <c r="G134" s="3118"/>
      <c r="H134" s="2522"/>
      <c r="I134" s="2523"/>
      <c r="J134" s="2523"/>
      <c r="K134" s="2523"/>
      <c r="L134" s="2523"/>
      <c r="M134" s="2523"/>
      <c r="N134" s="2523"/>
      <c r="O134" s="2523"/>
      <c r="P134" s="2523"/>
      <c r="Q134" s="2523"/>
      <c r="R134" s="2523"/>
      <c r="S134" s="2523"/>
      <c r="T134" s="2523"/>
      <c r="U134" s="2523"/>
      <c r="V134" s="2523"/>
      <c r="W134" s="2523"/>
      <c r="X134" s="2523"/>
      <c r="Y134" s="2523"/>
      <c r="Z134" s="2523"/>
    </row>
    <row r="135" spans="1:26" s="1517" customFormat="1" ht="12.75" customHeight="1" x14ac:dyDescent="0.2">
      <c r="A135" s="3363" t="s">
        <v>1633</v>
      </c>
      <c r="B135" s="3364"/>
      <c r="C135" s="2754"/>
      <c r="D135" s="2755" t="s">
        <v>1615</v>
      </c>
      <c r="E135" s="2756" t="s">
        <v>1624</v>
      </c>
      <c r="F135" s="3372" t="s">
        <v>1633</v>
      </c>
      <c r="G135" s="3373"/>
      <c r="H135" s="2522"/>
      <c r="I135" s="2523"/>
      <c r="J135" s="2523"/>
      <c r="K135" s="2523"/>
      <c r="L135" s="2523"/>
      <c r="M135" s="2523"/>
      <c r="N135" s="2523"/>
      <c r="O135" s="2523"/>
      <c r="P135" s="2523"/>
      <c r="Q135" s="2523"/>
      <c r="R135" s="2523"/>
      <c r="S135" s="2523"/>
      <c r="T135" s="2523"/>
      <c r="U135" s="2523"/>
      <c r="V135" s="2523"/>
      <c r="W135" s="2523"/>
      <c r="X135" s="2523"/>
      <c r="Y135" s="2523"/>
      <c r="Z135" s="2523"/>
    </row>
    <row r="136" spans="1:26" s="1517" customFormat="1" ht="15" customHeight="1" x14ac:dyDescent="0.2">
      <c r="A136" s="3375"/>
      <c r="B136" s="3376"/>
      <c r="C136" s="2757"/>
      <c r="D136" s="2758"/>
      <c r="E136" s="2758" t="s">
        <v>1631</v>
      </c>
      <c r="F136" s="2759"/>
      <c r="G136" s="2760"/>
      <c r="H136" s="2522"/>
      <c r="I136" s="2523"/>
      <c r="J136" s="2523"/>
      <c r="K136" s="2523"/>
      <c r="L136" s="2523"/>
      <c r="M136" s="2523"/>
      <c r="N136" s="2523"/>
      <c r="O136" s="2523"/>
      <c r="P136" s="2523"/>
      <c r="Q136" s="2523"/>
      <c r="R136" s="2523"/>
      <c r="S136" s="2523"/>
      <c r="T136" s="2523"/>
      <c r="U136" s="2523"/>
      <c r="V136" s="2523"/>
      <c r="W136" s="2523"/>
      <c r="X136" s="2523"/>
      <c r="Y136" s="2523"/>
      <c r="Z136" s="2523"/>
    </row>
    <row r="137" spans="1:26" s="1517" customFormat="1" ht="12.75" customHeight="1" x14ac:dyDescent="0.2">
      <c r="A137" s="2761"/>
      <c r="B137" s="2762" t="s">
        <v>1632</v>
      </c>
      <c r="C137" s="2763" t="s">
        <v>1623</v>
      </c>
      <c r="D137" s="2764">
        <f>Autonomie!H133</f>
        <v>4.983625690334355</v>
      </c>
      <c r="E137" s="2764">
        <f>Autonomie!$H$52/Ugb_Tot</f>
        <v>5.253559724361077</v>
      </c>
      <c r="F137" s="2765" t="s">
        <v>1634</v>
      </c>
      <c r="G137" s="2766" t="str">
        <f>ROUND(Autonomie!H114,0)&amp;" %"</f>
        <v>105 %</v>
      </c>
      <c r="H137" s="2522"/>
      <c r="I137" s="2523"/>
      <c r="J137" s="2523"/>
      <c r="K137" s="2523"/>
      <c r="L137" s="2523"/>
      <c r="M137" s="2523"/>
      <c r="N137" s="2523"/>
      <c r="O137" s="2523"/>
      <c r="P137" s="2523"/>
      <c r="Q137" s="2523"/>
      <c r="R137" s="2523"/>
      <c r="S137" s="2523"/>
      <c r="T137" s="2523"/>
      <c r="U137" s="2523"/>
      <c r="V137" s="2523"/>
      <c r="W137" s="2523"/>
      <c r="X137" s="2523"/>
      <c r="Y137" s="2523"/>
      <c r="Z137" s="2523"/>
    </row>
    <row r="138" spans="1:26" s="1517" customFormat="1" ht="12.75" customHeight="1" x14ac:dyDescent="0.2">
      <c r="A138" s="3377" t="s">
        <v>1628</v>
      </c>
      <c r="B138" s="3378"/>
      <c r="C138" s="2763" t="s">
        <v>1681</v>
      </c>
      <c r="D138" s="2767">
        <f>Autonomie!J140</f>
        <v>870.26398722799479</v>
      </c>
      <c r="E138" s="2767">
        <f>Autonomie!$J$52/Autonomie!$H$52</f>
        <v>817.75891087877551</v>
      </c>
      <c r="F138" s="2768"/>
      <c r="G138" s="2769"/>
      <c r="H138" s="2522"/>
      <c r="I138" s="2523"/>
      <c r="J138" s="2523"/>
      <c r="K138" s="2523"/>
      <c r="L138" s="2523"/>
      <c r="M138" s="2523"/>
      <c r="N138" s="2523"/>
      <c r="O138" s="2523"/>
      <c r="P138" s="2523"/>
      <c r="Q138" s="2523"/>
      <c r="R138" s="2523"/>
      <c r="S138" s="2523"/>
      <c r="T138" s="2523"/>
      <c r="U138" s="2523"/>
      <c r="V138" s="2523"/>
      <c r="W138" s="2523"/>
      <c r="X138" s="2523"/>
      <c r="Y138" s="2523"/>
      <c r="Z138" s="2523"/>
    </row>
    <row r="139" spans="1:26" s="1517" customFormat="1" ht="12.75" customHeight="1" x14ac:dyDescent="0.2">
      <c r="A139" s="3377"/>
      <c r="B139" s="3378"/>
      <c r="C139" s="2763" t="s">
        <v>1661</v>
      </c>
      <c r="D139" s="2767">
        <f>Autonomie!K140</f>
        <v>25.339948364757102</v>
      </c>
      <c r="E139" s="2767">
        <f>Autonomie!$K$52/Autonomie!$H$52</f>
        <v>20.35568065930968</v>
      </c>
      <c r="F139" s="2770" t="s">
        <v>1663</v>
      </c>
      <c r="G139" s="2771" t="s">
        <v>1689</v>
      </c>
      <c r="H139" s="2522"/>
      <c r="I139" s="2523"/>
      <c r="J139" s="2523"/>
      <c r="K139" s="2523"/>
      <c r="L139" s="2523"/>
      <c r="M139" s="2523"/>
      <c r="N139" s="2523"/>
      <c r="O139" s="2523"/>
      <c r="P139" s="2523"/>
      <c r="Q139" s="2523"/>
      <c r="R139" s="2523"/>
      <c r="S139" s="2523"/>
      <c r="T139" s="2523"/>
      <c r="U139" s="2523"/>
      <c r="V139" s="2523"/>
      <c r="W139" s="2523"/>
      <c r="X139" s="2523"/>
      <c r="Y139" s="2523"/>
      <c r="Z139" s="2523"/>
    </row>
    <row r="140" spans="1:26" s="1517" customFormat="1" ht="12.75" customHeight="1" x14ac:dyDescent="0.2">
      <c r="A140" s="3379"/>
      <c r="B140" s="3380"/>
      <c r="C140" s="2772" t="s">
        <v>1662</v>
      </c>
      <c r="D140" s="2773">
        <f>Autonomie!L140</f>
        <v>8.0344457575556447</v>
      </c>
      <c r="E140" s="2773">
        <f>Autonomie!$L$52/Autonomie!$H$52</f>
        <v>6.1397840992944257</v>
      </c>
      <c r="F140" s="2759"/>
      <c r="G140" s="2760"/>
      <c r="H140" s="2522"/>
      <c r="I140" s="2523"/>
      <c r="J140" s="2523"/>
      <c r="K140" s="2523"/>
      <c r="L140" s="2523"/>
      <c r="M140" s="2523"/>
      <c r="N140" s="2523"/>
      <c r="O140" s="2523"/>
      <c r="P140" s="2523"/>
      <c r="Q140" s="2523"/>
      <c r="R140" s="2523"/>
      <c r="S140" s="2523"/>
      <c r="T140" s="2523"/>
      <c r="U140" s="2523"/>
      <c r="V140" s="2523"/>
      <c r="W140" s="2523"/>
      <c r="X140" s="2523"/>
      <c r="Y140" s="2523"/>
      <c r="Z140" s="2523"/>
    </row>
    <row r="141" spans="1:26" s="1517" customFormat="1" ht="27.75" customHeight="1" x14ac:dyDescent="0.2">
      <c r="A141" s="3118" t="s">
        <v>2343</v>
      </c>
      <c r="B141" s="3118"/>
      <c r="C141" s="3118"/>
      <c r="D141" s="3118"/>
      <c r="E141" s="3118"/>
      <c r="F141" s="3118"/>
      <c r="G141" s="3118"/>
      <c r="H141" s="2522"/>
      <c r="I141" s="2523"/>
      <c r="J141" s="2523"/>
      <c r="K141" s="2523"/>
      <c r="L141" s="2523"/>
      <c r="M141" s="2523"/>
      <c r="N141" s="2523"/>
      <c r="O141" s="2523"/>
      <c r="P141" s="2523"/>
      <c r="Q141" s="2523"/>
      <c r="R141" s="2523"/>
      <c r="S141" s="2523"/>
      <c r="T141" s="2523"/>
      <c r="U141" s="2523"/>
      <c r="V141" s="2523"/>
      <c r="W141" s="2523"/>
      <c r="X141" s="2523"/>
      <c r="Y141" s="2523"/>
      <c r="Z141" s="2523"/>
    </row>
    <row r="142" spans="1:26" s="1517" customFormat="1" ht="5.0999999999999996" customHeight="1" x14ac:dyDescent="0.2">
      <c r="A142" s="2517"/>
      <c r="B142" s="2517"/>
      <c r="C142" s="2517"/>
      <c r="D142" s="2517"/>
      <c r="E142" s="2517"/>
      <c r="F142" s="2517"/>
      <c r="G142" s="2517"/>
      <c r="H142" s="2522"/>
      <c r="I142" s="2523"/>
      <c r="J142" s="2523"/>
      <c r="K142" s="2523"/>
      <c r="L142" s="2523"/>
      <c r="M142" s="2523"/>
      <c r="N142" s="2523"/>
      <c r="O142" s="2523"/>
      <c r="P142" s="2523"/>
      <c r="Q142" s="2523"/>
      <c r="R142" s="2523"/>
      <c r="S142" s="2523"/>
      <c r="T142" s="2523"/>
      <c r="U142" s="2523"/>
      <c r="V142" s="2523"/>
      <c r="W142" s="2523"/>
      <c r="X142" s="2523"/>
      <c r="Y142" s="2523"/>
      <c r="Z142" s="2523"/>
    </row>
    <row r="143" spans="1:26" s="1517" customFormat="1" ht="12.75" customHeight="1" x14ac:dyDescent="0.2">
      <c r="A143" s="3363" t="s">
        <v>1561</v>
      </c>
      <c r="B143" s="3364"/>
      <c r="C143" s="2774"/>
      <c r="D143" s="2755" t="s">
        <v>1615</v>
      </c>
      <c r="E143" s="2756" t="s">
        <v>1624</v>
      </c>
      <c r="F143" s="3372" t="s">
        <v>1561</v>
      </c>
      <c r="G143" s="3373"/>
      <c r="H143" s="2522"/>
      <c r="I143" s="2523"/>
      <c r="J143" s="2523"/>
      <c r="K143" s="2523"/>
      <c r="L143" s="2523"/>
      <c r="M143" s="2523"/>
      <c r="N143" s="2523"/>
      <c r="O143" s="2523"/>
      <c r="P143" s="2523"/>
      <c r="Q143" s="2523"/>
      <c r="R143" s="2523"/>
      <c r="S143" s="2523"/>
      <c r="T143" s="2523"/>
      <c r="U143" s="2523"/>
      <c r="V143" s="2523"/>
      <c r="W143" s="2523"/>
      <c r="X143" s="2523"/>
      <c r="Y143" s="2523"/>
      <c r="Z143" s="2523"/>
    </row>
    <row r="144" spans="1:26" s="1517" customFormat="1" ht="25.5" customHeight="1" x14ac:dyDescent="0.2">
      <c r="A144" s="2775"/>
      <c r="B144" s="2776"/>
      <c r="C144" s="2776"/>
      <c r="D144" s="2758"/>
      <c r="E144" s="2758" t="s">
        <v>1626</v>
      </c>
      <c r="F144" s="2759"/>
      <c r="G144" s="2760"/>
      <c r="H144" s="2522"/>
      <c r="I144" s="2523"/>
      <c r="J144" s="2523"/>
      <c r="K144" s="2523"/>
      <c r="L144" s="2523"/>
      <c r="M144" s="2523"/>
      <c r="N144" s="2523"/>
      <c r="O144" s="2523"/>
      <c r="P144" s="2523"/>
      <c r="Q144" s="2523"/>
      <c r="R144" s="2523"/>
      <c r="S144" s="2523"/>
      <c r="T144" s="2523"/>
      <c r="U144" s="2523"/>
      <c r="V144" s="2523"/>
      <c r="W144" s="2523"/>
      <c r="X144" s="2523"/>
      <c r="Y144" s="2523"/>
      <c r="Z144" s="2523"/>
    </row>
    <row r="145" spans="1:26" s="1517" customFormat="1" ht="12.75" customHeight="1" x14ac:dyDescent="0.2">
      <c r="A145" s="2761"/>
      <c r="B145" s="2762" t="s">
        <v>1625</v>
      </c>
      <c r="C145" s="2763" t="s">
        <v>1623</v>
      </c>
      <c r="D145" s="2764">
        <f>D137</f>
        <v>4.983625690334355</v>
      </c>
      <c r="E145" s="2764">
        <f>Autonomie!$H$55/Ugb_Tot</f>
        <v>5.5941823627978993</v>
      </c>
      <c r="F145" s="2765" t="s">
        <v>1634</v>
      </c>
      <c r="G145" s="2777">
        <f>Autonomie!H152/100</f>
        <v>1.1225125461664802</v>
      </c>
      <c r="H145" s="2522"/>
      <c r="I145" s="2523"/>
      <c r="J145" s="2523"/>
      <c r="K145" s="2523"/>
      <c r="L145" s="2523"/>
      <c r="M145" s="2523"/>
      <c r="N145" s="2523"/>
      <c r="O145" s="2523"/>
      <c r="P145" s="2523"/>
      <c r="Q145" s="2523"/>
      <c r="R145" s="2523"/>
      <c r="S145" s="2523"/>
      <c r="T145" s="2523"/>
      <c r="U145" s="2523"/>
      <c r="V145" s="2523"/>
      <c r="W145" s="2523"/>
      <c r="X145" s="2523"/>
      <c r="Y145" s="2523"/>
      <c r="Z145" s="2523"/>
    </row>
    <row r="146" spans="1:26" s="1517" customFormat="1" ht="12.75" customHeight="1" x14ac:dyDescent="0.2">
      <c r="A146" s="3366" t="s">
        <v>1627</v>
      </c>
      <c r="B146" s="3367"/>
      <c r="C146" s="2763" t="s">
        <v>1681</v>
      </c>
      <c r="D146" s="2767">
        <f>D138</f>
        <v>870.26398722799479</v>
      </c>
      <c r="E146" s="2767">
        <f>Autonomie!$J$55/Autonomie!$H$55</f>
        <v>842.83950136649253</v>
      </c>
      <c r="F146" s="2765" t="s">
        <v>219</v>
      </c>
      <c r="G146" s="2777">
        <f>Autonomie!J152/100</f>
        <v>1.0871389929648163</v>
      </c>
      <c r="H146" s="2522"/>
      <c r="I146" s="2523"/>
      <c r="J146" s="2523"/>
      <c r="K146" s="2523"/>
      <c r="L146" s="2523"/>
      <c r="M146" s="2523"/>
      <c r="N146" s="2523"/>
      <c r="O146" s="2523"/>
      <c r="P146" s="2523"/>
      <c r="Q146" s="2523"/>
      <c r="R146" s="2523"/>
      <c r="S146" s="2523"/>
      <c r="T146" s="2523"/>
      <c r="U146" s="2523"/>
      <c r="V146" s="2523"/>
      <c r="W146" s="2523"/>
      <c r="X146" s="2523"/>
      <c r="Y146" s="2523"/>
      <c r="Z146" s="2523"/>
    </row>
    <row r="147" spans="1:26" s="1517" customFormat="1" ht="12.75" customHeight="1" x14ac:dyDescent="0.2">
      <c r="A147" s="3366"/>
      <c r="B147" s="3367"/>
      <c r="C147" s="2763" t="s">
        <v>1661</v>
      </c>
      <c r="D147" s="2767">
        <f>D139</f>
        <v>25.339948364757102</v>
      </c>
      <c r="E147" s="2767">
        <f>Autonomie!$K$55/Autonomie!$H$55</f>
        <v>20.782513567596606</v>
      </c>
      <c r="F147" s="2765" t="s">
        <v>625</v>
      </c>
      <c r="G147" s="2777">
        <f>Autonomie!K152/100</f>
        <v>0.92062666761183454</v>
      </c>
      <c r="H147" s="2522"/>
      <c r="I147" s="2523"/>
      <c r="J147" s="2523"/>
      <c r="K147" s="2523"/>
      <c r="L147" s="2523"/>
      <c r="M147" s="2523"/>
      <c r="N147" s="2523"/>
      <c r="O147" s="2523"/>
      <c r="P147" s="2523"/>
      <c r="Q147" s="2523"/>
      <c r="R147" s="2523"/>
      <c r="S147" s="2523"/>
      <c r="T147" s="2523"/>
      <c r="U147" s="2523"/>
      <c r="V147" s="2523"/>
      <c r="W147" s="2523"/>
      <c r="X147" s="2523"/>
      <c r="Y147" s="2523"/>
      <c r="Z147" s="2523"/>
    </row>
    <row r="148" spans="1:26" s="1517" customFormat="1" ht="12.75" customHeight="1" x14ac:dyDescent="0.2">
      <c r="A148" s="3368"/>
      <c r="B148" s="3369"/>
      <c r="C148" s="2772" t="s">
        <v>1662</v>
      </c>
      <c r="D148" s="2773">
        <f>D140</f>
        <v>8.0344457575556447</v>
      </c>
      <c r="E148" s="2773">
        <f>Autonomie!$L$55/Autonomie!$H$55</f>
        <v>6.2572548683728995</v>
      </c>
      <c r="F148" s="2778" t="s">
        <v>187</v>
      </c>
      <c r="G148" s="2779">
        <f>Autonomie!L152/100</f>
        <v>0.87421675449169545</v>
      </c>
      <c r="H148" s="2522"/>
      <c r="I148" s="2523"/>
      <c r="J148" s="2523"/>
      <c r="K148" s="2523"/>
      <c r="L148" s="2523"/>
      <c r="M148" s="2523"/>
      <c r="N148" s="2523"/>
      <c r="O148" s="2523"/>
      <c r="P148" s="2523"/>
      <c r="Q148" s="2523"/>
      <c r="R148" s="2523"/>
      <c r="S148" s="2523"/>
      <c r="T148" s="2523"/>
      <c r="U148" s="2523"/>
      <c r="V148" s="2523"/>
      <c r="W148" s="2523"/>
      <c r="X148" s="2523"/>
      <c r="Y148" s="2523"/>
      <c r="Z148" s="2523"/>
    </row>
    <row r="149" spans="1:26" s="1517" customFormat="1" ht="40.5" customHeight="1" x14ac:dyDescent="0.2">
      <c r="A149" s="3113" t="s">
        <v>1785</v>
      </c>
      <c r="B149" s="3113"/>
      <c r="C149" s="3113"/>
      <c r="D149" s="3113"/>
      <c r="E149" s="3113"/>
      <c r="F149" s="3113"/>
      <c r="G149" s="3113"/>
      <c r="H149" s="2522"/>
      <c r="I149" s="2523"/>
      <c r="J149" s="2523"/>
      <c r="K149" s="2523"/>
      <c r="L149" s="2523"/>
      <c r="M149" s="2523"/>
      <c r="N149" s="2523"/>
      <c r="O149" s="2523"/>
      <c r="P149" s="2523"/>
      <c r="Q149" s="2523"/>
      <c r="R149" s="2523"/>
      <c r="S149" s="2523"/>
      <c r="T149" s="2523"/>
      <c r="U149" s="2523"/>
      <c r="V149" s="2523"/>
      <c r="W149" s="2523"/>
      <c r="X149" s="2523"/>
      <c r="Y149" s="2523"/>
      <c r="Z149" s="2523"/>
    </row>
    <row r="150" spans="1:26" s="1517" customFormat="1" ht="5.0999999999999996" customHeight="1" x14ac:dyDescent="0.2">
      <c r="A150" s="3365"/>
      <c r="B150" s="3365"/>
      <c r="C150" s="3365"/>
      <c r="D150" s="3365"/>
      <c r="E150" s="3365"/>
      <c r="F150" s="3365"/>
      <c r="G150" s="3365"/>
      <c r="H150" s="2522"/>
      <c r="I150" s="2523"/>
      <c r="J150" s="2523"/>
      <c r="K150" s="2523"/>
      <c r="L150" s="2523"/>
      <c r="M150" s="2523"/>
      <c r="N150" s="2523"/>
      <c r="O150" s="2523"/>
      <c r="P150" s="2523"/>
      <c r="Q150" s="2523"/>
      <c r="R150" s="2523"/>
      <c r="S150" s="2523"/>
      <c r="T150" s="2523"/>
      <c r="U150" s="2523"/>
      <c r="V150" s="2523"/>
      <c r="W150" s="2523"/>
      <c r="X150" s="2523"/>
      <c r="Y150" s="2523"/>
      <c r="Z150" s="2523"/>
    </row>
    <row r="151" spans="1:26" x14ac:dyDescent="0.2">
      <c r="A151" s="2509" t="s">
        <v>1670</v>
      </c>
      <c r="B151" s="2509"/>
      <c r="C151" s="2509"/>
      <c r="D151" s="2509"/>
      <c r="E151" s="2509"/>
      <c r="F151" s="2509"/>
      <c r="G151" s="2509"/>
      <c r="H151" s="2495"/>
      <c r="I151" s="2282"/>
      <c r="J151" s="2282"/>
      <c r="K151" s="2282"/>
      <c r="L151" s="2282"/>
      <c r="M151" s="2282"/>
      <c r="N151" s="2282"/>
      <c r="O151" s="2282"/>
      <c r="P151" s="2282"/>
      <c r="Q151" s="2282"/>
      <c r="R151" s="2282"/>
      <c r="S151" s="2282"/>
      <c r="T151" s="2282"/>
      <c r="U151" s="2282"/>
      <c r="V151" s="2282"/>
      <c r="W151" s="2282"/>
      <c r="X151" s="2282"/>
      <c r="Y151" s="2282"/>
      <c r="Z151" s="2282"/>
    </row>
    <row r="152" spans="1:26" ht="41.25" customHeight="1" x14ac:dyDescent="0.2">
      <c r="A152" s="3118" t="s">
        <v>2443</v>
      </c>
      <c r="B152" s="3118"/>
      <c r="C152" s="3118"/>
      <c r="D152" s="3118"/>
      <c r="E152" s="3118"/>
      <c r="F152" s="3118"/>
      <c r="G152" s="3118"/>
      <c r="H152" s="2495"/>
      <c r="I152" s="2282"/>
      <c r="J152" s="2282"/>
      <c r="K152" s="2282"/>
      <c r="L152" s="2282"/>
      <c r="M152" s="2282"/>
      <c r="N152" s="2282"/>
      <c r="O152" s="2282"/>
      <c r="P152" s="2282"/>
      <c r="Q152" s="2282"/>
      <c r="R152" s="2282"/>
      <c r="S152" s="2282"/>
      <c r="T152" s="2282"/>
      <c r="U152" s="2282"/>
      <c r="V152" s="2282"/>
      <c r="W152" s="2282"/>
      <c r="X152" s="2282"/>
      <c r="Y152" s="2282"/>
      <c r="Z152" s="2282"/>
    </row>
    <row r="153" spans="1:26" ht="29.25" customHeight="1" x14ac:dyDescent="0.2">
      <c r="A153" s="3118" t="str">
        <f>"Les paramètres du système étudié ici définissent la place et le rôle actuels des prairies. Une simulation devant améliorer ces résultats peut se faire à partir des surfaces SFPc et des rendements (lignes "&amp;ROW(Autonomie!A12)&amp;"-"&amp;ROW(Autonomie!A27)&amp;" et "&amp;ROW(Autonomie!A35)&amp;"-"&amp;ROW(Autonomie!A48)&amp;" du module Autonomie)."</f>
        <v>Les paramètres du système étudié ici définissent la place et le rôle actuels des prairies. Une simulation devant améliorer ces résultats peut se faire à partir des surfaces SFPc et des rendements (lignes 12-27 et 35-48 du module Autonomie).</v>
      </c>
      <c r="B153" s="3118"/>
      <c r="C153" s="3118"/>
      <c r="D153" s="3118"/>
      <c r="E153" s="3118"/>
      <c r="F153" s="3118"/>
      <c r="G153" s="3118"/>
      <c r="H153" s="2495"/>
      <c r="I153" s="2282"/>
      <c r="J153" s="2282"/>
      <c r="K153" s="2282"/>
      <c r="L153" s="2282"/>
      <c r="M153" s="2282"/>
      <c r="N153" s="2282"/>
      <c r="O153" s="2282"/>
      <c r="P153" s="2282"/>
      <c r="Q153" s="2282"/>
      <c r="R153" s="2282"/>
      <c r="S153" s="2282"/>
      <c r="T153" s="2282"/>
      <c r="U153" s="2282"/>
      <c r="V153" s="2282"/>
      <c r="W153" s="2282"/>
      <c r="X153" s="2282"/>
      <c r="Y153" s="2282"/>
      <c r="Z153" s="2282"/>
    </row>
    <row r="154" spans="1:26" x14ac:dyDescent="0.2">
      <c r="A154" s="2556" t="s">
        <v>1143</v>
      </c>
      <c r="B154" s="2688"/>
      <c r="C154" s="2557" t="s">
        <v>1159</v>
      </c>
      <c r="D154" s="2689">
        <f>(SA_SFP_Herbe+SA_SFP_Luz)/SA_SAUnette</f>
        <v>0.72222222222222221</v>
      </c>
      <c r="E154" s="2557"/>
      <c r="F154" s="2688" t="s">
        <v>1572</v>
      </c>
      <c r="G154" s="2630">
        <f>NPK_Organiques!G32</f>
        <v>82.239099080300534</v>
      </c>
      <c r="H154" s="2495"/>
      <c r="I154" s="2282"/>
      <c r="J154" s="2282"/>
      <c r="K154" s="2282"/>
      <c r="L154" s="2282"/>
      <c r="M154" s="2282"/>
      <c r="N154" s="2282"/>
      <c r="O154" s="2282"/>
      <c r="P154" s="2282"/>
      <c r="Q154" s="2282"/>
      <c r="R154" s="2282"/>
      <c r="S154" s="2282"/>
      <c r="T154" s="2282"/>
      <c r="U154" s="2282"/>
      <c r="V154" s="2282"/>
      <c r="W154" s="2282"/>
      <c r="X154" s="2282"/>
      <c r="Y154" s="2282"/>
      <c r="Z154" s="2282"/>
    </row>
    <row r="155" spans="1:26" x14ac:dyDescent="0.2">
      <c r="A155" s="2548"/>
      <c r="B155" s="2334"/>
      <c r="C155" s="2486" t="s">
        <v>1635</v>
      </c>
      <c r="D155" s="2461">
        <f>(SA_SFP_Herbe+SA_SFP_Luz)/SA_SFPc</f>
        <v>0.72222222222222221</v>
      </c>
      <c r="E155" s="2334"/>
      <c r="F155" s="2488" t="s">
        <v>1744</v>
      </c>
      <c r="G155" s="2577">
        <f>NPK_Organiques!J32</f>
        <v>26.888193410009517</v>
      </c>
      <c r="H155" s="2495"/>
      <c r="I155" s="2282"/>
      <c r="J155" s="2282"/>
      <c r="K155" s="2282"/>
      <c r="L155" s="2282"/>
      <c r="M155" s="2282"/>
      <c r="N155" s="2282"/>
      <c r="O155" s="2282"/>
      <c r="P155" s="2282"/>
      <c r="Q155" s="2282"/>
      <c r="R155" s="2282"/>
      <c r="S155" s="2282"/>
      <c r="T155" s="2282"/>
      <c r="U155" s="2282"/>
      <c r="V155" s="2282"/>
      <c r="W155" s="2282"/>
      <c r="X155" s="2282"/>
      <c r="Y155" s="2282"/>
      <c r="Z155" s="2282"/>
    </row>
    <row r="156" spans="1:26" ht="17.850000000000001" customHeight="1" x14ac:dyDescent="0.2">
      <c r="A156" s="2548" t="s">
        <v>1140</v>
      </c>
      <c r="B156" s="2334"/>
      <c r="C156" s="2486" t="s">
        <v>1141</v>
      </c>
      <c r="D156" s="2461">
        <f>SUM(Autonomie!J7:J24,Autonomie!J35:J36)/Autonomie!J55</f>
        <v>0.6355455389318031</v>
      </c>
      <c r="E156" s="2486"/>
      <c r="F156" s="2488" t="s">
        <v>1296</v>
      </c>
      <c r="G156" s="2562">
        <f>SUM(Autonomie!J7:J27,Autonomie!J35:J36)/Autonomie!J107</f>
        <v>0.69092633717760199</v>
      </c>
      <c r="H156" s="2495"/>
      <c r="I156" s="2282"/>
      <c r="J156" s="2282"/>
      <c r="K156" s="2282"/>
      <c r="L156" s="2282"/>
      <c r="M156" s="2282"/>
      <c r="N156" s="2282"/>
      <c r="O156" s="2282"/>
      <c r="P156" s="2282"/>
      <c r="Q156" s="2282"/>
      <c r="R156" s="2282"/>
      <c r="S156" s="2282"/>
      <c r="T156" s="2282"/>
      <c r="U156" s="2282"/>
      <c r="V156" s="2282"/>
      <c r="W156" s="2282"/>
      <c r="X156" s="2282"/>
      <c r="Y156" s="2282"/>
      <c r="Z156" s="2282"/>
    </row>
    <row r="157" spans="1:26" x14ac:dyDescent="0.2">
      <c r="A157" s="2550"/>
      <c r="B157" s="2583"/>
      <c r="C157" s="2612" t="s">
        <v>1142</v>
      </c>
      <c r="D157" s="2690">
        <f>SUM(Autonomie!K7:K24,Autonomie!K35:K36)/Autonomie!K55</f>
        <v>0.76859405669061587</v>
      </c>
      <c r="E157" s="2612"/>
      <c r="F157" s="2691" t="s">
        <v>1297</v>
      </c>
      <c r="G157" s="2569">
        <f>SUM(Autonomie!K7:K27,Autonomie!K35:K36)/Autonomie!K107</f>
        <v>0.70758818515734312</v>
      </c>
      <c r="H157" s="2495"/>
      <c r="I157" s="2282"/>
      <c r="J157" s="2282"/>
      <c r="K157" s="2282"/>
      <c r="L157" s="2282"/>
      <c r="M157" s="2282"/>
      <c r="N157" s="2282"/>
      <c r="O157" s="2282"/>
      <c r="P157" s="2282"/>
      <c r="Q157" s="2282"/>
      <c r="R157" s="2282"/>
      <c r="S157" s="2282"/>
      <c r="T157" s="2282"/>
      <c r="U157" s="2282"/>
      <c r="V157" s="2282"/>
      <c r="W157" s="2282"/>
      <c r="X157" s="2282"/>
      <c r="Y157" s="2282"/>
      <c r="Z157" s="2282"/>
    </row>
    <row r="158" spans="1:26" ht="5.0999999999999996" customHeight="1" x14ac:dyDescent="0.2">
      <c r="A158" s="3386"/>
      <c r="B158" s="3386"/>
      <c r="C158" s="3386"/>
      <c r="D158" s="3386"/>
      <c r="E158" s="3386"/>
      <c r="F158" s="3386"/>
      <c r="G158" s="3386"/>
      <c r="H158" s="2495"/>
      <c r="I158" s="2282"/>
      <c r="J158" s="2282"/>
      <c r="K158" s="2282"/>
      <c r="L158" s="2282"/>
      <c r="M158" s="2282"/>
      <c r="N158" s="2282"/>
      <c r="O158" s="2282"/>
      <c r="P158" s="2282"/>
      <c r="Q158" s="2282"/>
      <c r="R158" s="2282"/>
      <c r="S158" s="2282"/>
      <c r="T158" s="2282"/>
      <c r="U158" s="2282"/>
      <c r="V158" s="2282"/>
      <c r="W158" s="2282"/>
      <c r="X158" s="2282"/>
      <c r="Y158" s="2282"/>
      <c r="Z158" s="2282"/>
    </row>
    <row r="159" spans="1:26" ht="12.75" customHeight="1" x14ac:dyDescent="0.2">
      <c r="A159" s="2509" t="s">
        <v>1695</v>
      </c>
      <c r="B159" s="2509"/>
      <c r="C159" s="2509"/>
      <c r="D159" s="2509"/>
      <c r="E159" s="2509"/>
      <c r="F159" s="2509"/>
      <c r="G159" s="2509"/>
      <c r="H159" s="2495"/>
      <c r="I159" s="2282"/>
      <c r="J159" s="2282"/>
      <c r="K159" s="2282"/>
      <c r="L159" s="2282"/>
      <c r="M159" s="2282"/>
      <c r="N159" s="2282"/>
      <c r="O159" s="2282"/>
      <c r="P159" s="2282"/>
      <c r="Q159" s="2282"/>
      <c r="R159" s="2282"/>
      <c r="S159" s="2282"/>
      <c r="T159" s="2282"/>
      <c r="U159" s="2282"/>
      <c r="V159" s="2282"/>
      <c r="W159" s="2282"/>
      <c r="X159" s="2282"/>
      <c r="Y159" s="2282"/>
      <c r="Z159" s="2282"/>
    </row>
    <row r="160" spans="1:26" ht="39" customHeight="1" x14ac:dyDescent="0.2">
      <c r="A160" s="3385" t="s">
        <v>1786</v>
      </c>
      <c r="B160" s="3385"/>
      <c r="C160" s="3385"/>
      <c r="D160" s="3385"/>
      <c r="E160" s="3385"/>
      <c r="F160" s="3385"/>
      <c r="G160" s="3385"/>
      <c r="H160" s="2495"/>
      <c r="I160" s="2282"/>
      <c r="J160" s="2282"/>
      <c r="K160" s="2282"/>
      <c r="L160" s="2282"/>
      <c r="M160" s="2282"/>
      <c r="N160" s="2282"/>
      <c r="O160" s="2282"/>
      <c r="P160" s="2282"/>
      <c r="Q160" s="2282"/>
      <c r="R160" s="2282"/>
      <c r="S160" s="2282"/>
      <c r="T160" s="2282"/>
      <c r="U160" s="2282"/>
      <c r="V160" s="2282"/>
      <c r="W160" s="2282"/>
      <c r="X160" s="2282"/>
      <c r="Y160" s="2282"/>
      <c r="Z160" s="2282"/>
    </row>
    <row r="161" spans="1:26" ht="29.25" customHeight="1" x14ac:dyDescent="0.2">
      <c r="A161" s="3385" t="s">
        <v>1605</v>
      </c>
      <c r="B161" s="3385"/>
      <c r="C161" s="3385"/>
      <c r="D161" s="3385"/>
      <c r="E161" s="3385"/>
      <c r="F161" s="3385"/>
      <c r="G161" s="3385"/>
      <c r="H161" s="2495"/>
      <c r="I161" s="2282"/>
      <c r="J161" s="2282"/>
      <c r="K161" s="2282"/>
      <c r="L161" s="2282"/>
      <c r="M161" s="2282"/>
      <c r="N161" s="2282"/>
      <c r="O161" s="2282"/>
      <c r="P161" s="2282"/>
      <c r="Q161" s="2282"/>
      <c r="R161" s="2282"/>
      <c r="S161" s="2282"/>
      <c r="T161" s="2282"/>
      <c r="U161" s="2282"/>
      <c r="V161" s="2282"/>
      <c r="W161" s="2282"/>
      <c r="X161" s="2282"/>
      <c r="Y161" s="2282"/>
      <c r="Z161" s="2282"/>
    </row>
    <row r="162" spans="1:26" ht="5.0999999999999996" customHeight="1" x14ac:dyDescent="0.2">
      <c r="A162" s="2282"/>
      <c r="B162" s="2282"/>
      <c r="C162" s="2282"/>
      <c r="D162" s="2282"/>
      <c r="E162" s="2282"/>
      <c r="F162" s="2282"/>
      <c r="G162" s="2282"/>
      <c r="H162" s="2495"/>
      <c r="I162" s="2282"/>
      <c r="J162" s="2282"/>
      <c r="K162" s="2282"/>
      <c r="L162" s="2282"/>
      <c r="M162" s="2282"/>
      <c r="N162" s="2282"/>
      <c r="O162" s="2282"/>
      <c r="P162" s="2282"/>
      <c r="Q162" s="2282"/>
      <c r="R162" s="2282"/>
      <c r="S162" s="2282"/>
      <c r="T162" s="2282"/>
      <c r="U162" s="2282"/>
      <c r="V162" s="2282"/>
      <c r="W162" s="2282"/>
      <c r="X162" s="2282"/>
      <c r="Y162" s="2282"/>
      <c r="Z162" s="2282"/>
    </row>
    <row r="163" spans="1:26" ht="12.75" customHeight="1" x14ac:dyDescent="0.2">
      <c r="A163" s="2518" t="s">
        <v>1703</v>
      </c>
      <c r="B163" s="2282"/>
      <c r="C163" s="2282"/>
      <c r="D163" s="2282"/>
      <c r="E163" s="2282"/>
      <c r="F163" s="2282"/>
      <c r="G163" s="2282"/>
      <c r="H163" s="2495"/>
      <c r="I163" s="2282"/>
      <c r="J163" s="2282"/>
      <c r="K163" s="2282"/>
      <c r="L163" s="2282"/>
      <c r="M163" s="2282"/>
      <c r="N163" s="2282"/>
      <c r="O163" s="2282"/>
      <c r="P163" s="2282"/>
      <c r="Q163" s="2282"/>
      <c r="R163" s="2282"/>
      <c r="S163" s="2282"/>
      <c r="T163" s="2282"/>
      <c r="U163" s="2282"/>
      <c r="V163" s="2282"/>
      <c r="W163" s="2282"/>
      <c r="X163" s="2282"/>
      <c r="Y163" s="2282"/>
      <c r="Z163" s="2282"/>
    </row>
    <row r="164" spans="1:26" ht="12.75" customHeight="1" x14ac:dyDescent="0.2">
      <c r="A164" s="2535"/>
      <c r="B164" s="2688" t="s">
        <v>2425</v>
      </c>
      <c r="C164" s="2689">
        <f>SA_SFP_Herbe/SA_SAUnette</f>
        <v>0.72222222222222221</v>
      </c>
      <c r="D164" s="2557"/>
      <c r="E164" s="2615"/>
      <c r="F164" s="2688" t="s">
        <v>1574</v>
      </c>
      <c r="G164" s="2692">
        <f>Autonomie!H55/(Autonomie!H55+Achats!E93+Achats!E110)</f>
        <v>0.89417326343198889</v>
      </c>
      <c r="H164" s="2495"/>
      <c r="I164" s="2282"/>
      <c r="J164" s="2282"/>
      <c r="K164" s="2282"/>
      <c r="L164" s="2282"/>
      <c r="M164" s="2282"/>
      <c r="N164" s="2282"/>
      <c r="O164" s="2282"/>
      <c r="P164" s="2282"/>
      <c r="Q164" s="2282"/>
      <c r="R164" s="2282"/>
      <c r="S164" s="2282"/>
      <c r="T164" s="2282"/>
      <c r="U164" s="2282"/>
      <c r="V164" s="2282"/>
      <c r="W164" s="2282"/>
      <c r="X164" s="2282"/>
      <c r="Y164" s="2282"/>
      <c r="Z164" s="2282"/>
    </row>
    <row r="165" spans="1:26" ht="12.75" customHeight="1" x14ac:dyDescent="0.2">
      <c r="A165" s="2548"/>
      <c r="B165" s="2488" t="s">
        <v>2426</v>
      </c>
      <c r="C165" s="2461">
        <f>SA_SFP_Perma/SA_SAUnette</f>
        <v>8.8888888888888892E-2</v>
      </c>
      <c r="D165" s="2486"/>
      <c r="E165" s="2334"/>
      <c r="F165" s="2488" t="s">
        <v>1575</v>
      </c>
      <c r="G165" s="2562">
        <f>Autonomie!J55/(Autonomie!J55+Achats!F93+Achats!F110)</f>
        <v>0.88853020092800661</v>
      </c>
      <c r="H165" s="2495"/>
      <c r="I165" s="2282"/>
      <c r="J165" s="2282"/>
      <c r="K165" s="2282"/>
      <c r="L165" s="2282"/>
      <c r="M165" s="2282"/>
      <c r="N165" s="2282"/>
      <c r="O165" s="2282"/>
      <c r="P165" s="2282"/>
      <c r="Q165" s="2282"/>
      <c r="R165" s="2282"/>
      <c r="S165" s="2282"/>
      <c r="T165" s="2282"/>
      <c r="U165" s="2282"/>
      <c r="V165" s="2282"/>
      <c r="W165" s="2282"/>
      <c r="X165" s="2282"/>
      <c r="Y165" s="2282"/>
      <c r="Z165" s="2282"/>
    </row>
    <row r="166" spans="1:26" ht="12.75" customHeight="1" x14ac:dyDescent="0.2">
      <c r="A166" s="2538"/>
      <c r="B166" s="2691" t="s">
        <v>2427</v>
      </c>
      <c r="C166" s="2690">
        <f>SUM(Autonomie!E36:E43)/SA_SAUnette</f>
        <v>5.5555555555555552E-2</v>
      </c>
      <c r="D166" s="2612"/>
      <c r="E166" s="2583"/>
      <c r="F166" s="2691" t="s">
        <v>1573</v>
      </c>
      <c r="G166" s="2569">
        <f>Autonomie!K55/(Autonomie!K55+Achats!G93+Achats!G110)</f>
        <v>0.87797685520672319</v>
      </c>
      <c r="H166" s="2495"/>
      <c r="I166" s="2282"/>
      <c r="J166" s="2282"/>
      <c r="K166" s="2282"/>
      <c r="L166" s="2282"/>
      <c r="M166" s="2282"/>
      <c r="N166" s="2282"/>
      <c r="O166" s="2282"/>
      <c r="P166" s="2282"/>
      <c r="Q166" s="2282"/>
      <c r="R166" s="2282"/>
      <c r="S166" s="2282"/>
      <c r="T166" s="2282"/>
      <c r="U166" s="2282"/>
      <c r="V166" s="2282"/>
      <c r="W166" s="2282"/>
      <c r="X166" s="2282"/>
      <c r="Y166" s="2282"/>
      <c r="Z166" s="2282"/>
    </row>
    <row r="167" spans="1:26" ht="5.0999999999999996" customHeight="1" x14ac:dyDescent="0.2">
      <c r="A167" s="2282"/>
      <c r="B167" s="2282"/>
      <c r="C167" s="2282"/>
      <c r="D167" s="2282"/>
      <c r="E167" s="2282"/>
      <c r="F167" s="2282"/>
      <c r="G167" s="2282"/>
      <c r="H167" s="2495"/>
      <c r="I167" s="2282"/>
      <c r="J167" s="2282"/>
      <c r="K167" s="2282"/>
      <c r="L167" s="2282"/>
      <c r="M167" s="2282"/>
      <c r="N167" s="2282"/>
      <c r="O167" s="2282"/>
      <c r="P167" s="2282"/>
      <c r="Q167" s="2282"/>
      <c r="R167" s="2282"/>
      <c r="S167" s="2282"/>
      <c r="T167" s="2282"/>
      <c r="U167" s="2282"/>
      <c r="V167" s="2282"/>
      <c r="W167" s="2282"/>
      <c r="X167" s="2282"/>
      <c r="Y167" s="2282"/>
      <c r="Z167" s="2282"/>
    </row>
    <row r="168" spans="1:26" ht="12.75" customHeight="1" x14ac:dyDescent="0.2">
      <c r="A168" s="2518" t="s">
        <v>1607</v>
      </c>
      <c r="B168" s="2282"/>
      <c r="C168" s="2282"/>
      <c r="D168" s="2636" t="s">
        <v>625</v>
      </c>
      <c r="E168" s="2609" t="s">
        <v>187</v>
      </c>
      <c r="F168" s="2637" t="s">
        <v>665</v>
      </c>
      <c r="G168" s="2283"/>
      <c r="H168" s="2495"/>
      <c r="I168" s="2282"/>
      <c r="J168" s="2282"/>
      <c r="K168" s="2282"/>
      <c r="L168" s="2282"/>
      <c r="M168" s="2282"/>
      <c r="N168" s="2282"/>
      <c r="O168" s="2282"/>
      <c r="P168" s="2282"/>
      <c r="Q168" s="2282"/>
      <c r="R168" s="2282"/>
      <c r="S168" s="2282"/>
      <c r="T168" s="2282"/>
      <c r="U168" s="2282"/>
      <c r="V168" s="2282"/>
      <c r="W168" s="2282"/>
      <c r="X168" s="2282"/>
      <c r="Y168" s="2282"/>
      <c r="Z168" s="2282"/>
    </row>
    <row r="169" spans="1:26" ht="12.75" customHeight="1" x14ac:dyDescent="0.2">
      <c r="A169" s="2535"/>
      <c r="B169" s="2615"/>
      <c r="C169" s="2688" t="s">
        <v>1576</v>
      </c>
      <c r="D169" s="2696">
        <f>Ferti_SAU!C48</f>
        <v>11.544444444444444</v>
      </c>
      <c r="E169" s="2693">
        <f>Ferti_SAU!D48</f>
        <v>24.544444444444444</v>
      </c>
      <c r="F169" s="2697">
        <f>Ferti_SAU!E48</f>
        <v>80.36666666666666</v>
      </c>
      <c r="G169" s="2283"/>
      <c r="H169" s="2495"/>
      <c r="I169" s="2282"/>
      <c r="J169" s="2282"/>
      <c r="K169" s="2282"/>
      <c r="L169" s="2282"/>
      <c r="M169" s="2282"/>
      <c r="N169" s="2282"/>
      <c r="O169" s="2282"/>
      <c r="P169" s="2282"/>
      <c r="Q169" s="2282"/>
      <c r="R169" s="2282"/>
      <c r="S169" s="2282"/>
      <c r="T169" s="2282"/>
      <c r="U169" s="2282"/>
      <c r="V169" s="2282"/>
      <c r="W169" s="2282"/>
      <c r="X169" s="2282"/>
      <c r="Y169" s="2282"/>
      <c r="Z169" s="2282"/>
    </row>
    <row r="170" spans="1:26" ht="12.75" customHeight="1" x14ac:dyDescent="0.2">
      <c r="A170" s="2548"/>
      <c r="B170" s="2334"/>
      <c r="C170" s="2488" t="s">
        <v>1577</v>
      </c>
      <c r="D170" s="2698">
        <f>Ferti_SAU!F48</f>
        <v>60.444444444444443</v>
      </c>
      <c r="E170" s="2694">
        <f>Ferti_SAU!G48</f>
        <v>39.388888888888886</v>
      </c>
      <c r="F170" s="2632">
        <f>Ferti_SAU!H48</f>
        <v>99.5</v>
      </c>
      <c r="G170" s="2283"/>
      <c r="H170" s="2495"/>
      <c r="I170" s="2282"/>
      <c r="J170" s="2282"/>
      <c r="K170" s="2282"/>
      <c r="L170" s="2282"/>
      <c r="M170" s="2282"/>
      <c r="N170" s="2282"/>
      <c r="O170" s="2282"/>
      <c r="P170" s="2282"/>
      <c r="Q170" s="2282"/>
      <c r="R170" s="2282"/>
      <c r="S170" s="2282"/>
      <c r="T170" s="2282"/>
      <c r="U170" s="2282"/>
      <c r="V170" s="2282"/>
      <c r="W170" s="2282"/>
      <c r="X170" s="2282"/>
      <c r="Y170" s="2282"/>
      <c r="Z170" s="2282"/>
    </row>
    <row r="171" spans="1:26" ht="12.75" customHeight="1" x14ac:dyDescent="0.2">
      <c r="A171" s="2538"/>
      <c r="B171" s="2583"/>
      <c r="C171" s="2691" t="s">
        <v>1702</v>
      </c>
      <c r="D171" s="2699">
        <f>Ferti_SAU!C50</f>
        <v>16.036425374286154</v>
      </c>
      <c r="E171" s="2695">
        <f>Ferti_SAU!D50</f>
        <v>38.390684741049704</v>
      </c>
      <c r="F171" s="2587">
        <f>Ferti_SAU!E50</f>
        <v>44.681245366938469</v>
      </c>
      <c r="G171" s="2283"/>
      <c r="H171" s="2495"/>
      <c r="I171" s="2282"/>
      <c r="J171" s="2282"/>
      <c r="K171" s="2282"/>
      <c r="L171" s="2282"/>
      <c r="M171" s="2282"/>
      <c r="N171" s="2282"/>
      <c r="O171" s="2282"/>
      <c r="P171" s="2282"/>
      <c r="Q171" s="2282"/>
      <c r="R171" s="2282"/>
      <c r="S171" s="2282"/>
      <c r="T171" s="2282"/>
      <c r="U171" s="2282"/>
      <c r="V171" s="2282"/>
      <c r="W171" s="2282"/>
      <c r="X171" s="2282"/>
      <c r="Y171" s="2282"/>
      <c r="Z171" s="2282"/>
    </row>
    <row r="172" spans="1:26" ht="12.75" customHeight="1" x14ac:dyDescent="0.2">
      <c r="A172" s="2495"/>
      <c r="B172" s="2282"/>
      <c r="C172" s="2431"/>
      <c r="D172" s="2519" t="str">
        <f>IF(D171&lt;0.5,"Essayer de dépasser 50 % de N, si la dose de P le permet","")</f>
        <v/>
      </c>
      <c r="E172" s="2520"/>
      <c r="F172" s="2520"/>
      <c r="G172" s="2283"/>
      <c r="H172" s="2495"/>
      <c r="I172" s="2282"/>
      <c r="J172" s="2282"/>
      <c r="K172" s="2282"/>
      <c r="L172" s="2282"/>
      <c r="M172" s="2282"/>
      <c r="N172" s="2282"/>
      <c r="O172" s="2282"/>
      <c r="P172" s="2282"/>
      <c r="Q172" s="2282"/>
      <c r="R172" s="2282"/>
      <c r="S172" s="2282"/>
      <c r="T172" s="2282"/>
      <c r="U172" s="2282"/>
      <c r="V172" s="2282"/>
      <c r="W172" s="2282"/>
      <c r="X172" s="2282"/>
      <c r="Y172" s="2282"/>
      <c r="Z172" s="2282"/>
    </row>
    <row r="173" spans="1:26" ht="5.0999999999999996" customHeight="1" x14ac:dyDescent="0.2">
      <c r="A173" s="2495"/>
      <c r="B173" s="2282"/>
      <c r="C173" s="2431"/>
      <c r="D173" s="2428"/>
      <c r="E173" s="2282"/>
      <c r="F173" s="2282"/>
      <c r="G173" s="2282"/>
      <c r="H173" s="2495"/>
      <c r="I173" s="2282"/>
      <c r="J173" s="2282"/>
      <c r="K173" s="2282"/>
      <c r="L173" s="2282"/>
      <c r="M173" s="2282"/>
      <c r="N173" s="2282"/>
      <c r="O173" s="2282"/>
      <c r="P173" s="2282"/>
      <c r="Q173" s="2282"/>
      <c r="R173" s="2282"/>
      <c r="S173" s="2282"/>
      <c r="T173" s="2282"/>
      <c r="U173" s="2282"/>
      <c r="V173" s="2282"/>
      <c r="W173" s="2282"/>
      <c r="X173" s="2282"/>
      <c r="Y173" s="2282"/>
      <c r="Z173" s="2282"/>
    </row>
    <row r="174" spans="1:26" ht="12.75" customHeight="1" x14ac:dyDescent="0.2">
      <c r="A174" s="2518" t="s">
        <v>1671</v>
      </c>
      <c r="B174" s="2282"/>
      <c r="C174" s="2282"/>
      <c r="D174" s="2282"/>
      <c r="E174" s="2282"/>
      <c r="F174" s="2282"/>
      <c r="G174" s="2282"/>
      <c r="H174" s="2495"/>
      <c r="I174" s="2282"/>
      <c r="J174" s="2282"/>
      <c r="K174" s="2282"/>
      <c r="L174" s="2282"/>
      <c r="M174" s="2282"/>
      <c r="N174" s="2282"/>
      <c r="O174" s="2282"/>
      <c r="P174" s="2282"/>
      <c r="Q174" s="2282"/>
      <c r="R174" s="2282"/>
      <c r="S174" s="2282"/>
      <c r="T174" s="2282"/>
      <c r="U174" s="2282"/>
      <c r="V174" s="2282"/>
      <c r="W174" s="2282"/>
      <c r="X174" s="2282"/>
      <c r="Y174" s="2282"/>
      <c r="Z174" s="2282"/>
    </row>
    <row r="175" spans="1:26" ht="12.75" customHeight="1" x14ac:dyDescent="0.2">
      <c r="A175" s="2705"/>
      <c r="B175" s="2706" t="s">
        <v>1608</v>
      </c>
      <c r="C175" s="2608"/>
      <c r="D175" s="2607"/>
      <c r="E175" s="2707"/>
      <c r="F175" s="2706" t="s">
        <v>1593</v>
      </c>
      <c r="G175" s="2610"/>
      <c r="H175" s="2495"/>
      <c r="I175" s="2282"/>
      <c r="J175" s="2282"/>
      <c r="K175" s="2282"/>
      <c r="L175" s="2282"/>
      <c r="M175" s="2282"/>
      <c r="N175" s="2282"/>
      <c r="O175" s="2282"/>
      <c r="P175" s="2282"/>
      <c r="Q175" s="2282"/>
      <c r="R175" s="2282"/>
      <c r="S175" s="2282"/>
      <c r="T175" s="2282"/>
      <c r="U175" s="2282"/>
      <c r="V175" s="2282"/>
      <c r="W175" s="2282"/>
      <c r="X175" s="2282"/>
      <c r="Y175" s="2282"/>
      <c r="Z175" s="2282"/>
    </row>
    <row r="176" spans="1:26" ht="12.75" customHeight="1" x14ac:dyDescent="0.2">
      <c r="A176" s="2541"/>
      <c r="B176" s="2488" t="s">
        <v>1590</v>
      </c>
      <c r="C176" s="2701">
        <f>Saisies_Exploitation!H46/(0.001*Autonomie!H62+SUM(Achats!G6:G8,Achats!G46:G48))</f>
        <v>1126.300308338321</v>
      </c>
      <c r="D176" s="2541"/>
      <c r="E176" s="2334"/>
      <c r="F176" s="2488" t="s">
        <v>1701</v>
      </c>
      <c r="G176" s="2702">
        <f>C77/(0.001*SUM(Autonomie!H73:H75,Autonomie!AD79:AD101)+SUM(Achats!G28:G42,Achats!G68:G82))</f>
        <v>149.96410624551328</v>
      </c>
      <c r="H176" s="2495"/>
      <c r="I176" s="2282"/>
      <c r="J176" s="2282"/>
      <c r="K176" s="2282"/>
      <c r="L176" s="2282"/>
      <c r="M176" s="2282"/>
      <c r="N176" s="2282"/>
      <c r="O176" s="2282"/>
      <c r="P176" s="2282"/>
      <c r="Q176" s="2282"/>
      <c r="R176" s="2282"/>
      <c r="S176" s="2282"/>
      <c r="T176" s="2282"/>
      <c r="U176" s="2282"/>
      <c r="V176" s="2282"/>
      <c r="W176" s="2282"/>
      <c r="X176" s="2282"/>
      <c r="Y176" s="2282"/>
      <c r="Z176" s="2282"/>
    </row>
    <row r="177" spans="1:26" ht="12.75" customHeight="1" x14ac:dyDescent="0.2">
      <c r="A177" s="2780"/>
      <c r="B177" s="2781" t="s">
        <v>1411</v>
      </c>
      <c r="C177" s="2782">
        <f>E70/C67</f>
        <v>0.78669309872707871</v>
      </c>
      <c r="D177" s="2541"/>
      <c r="E177" s="2334"/>
      <c r="F177" s="2488" t="s">
        <v>1594</v>
      </c>
      <c r="G177" s="2632">
        <f>1000*C77/SUM(Autonomie!J73:J75,Autonomie!AF79:AF101,Achats!H28:H42,Achats!H68:H82)</f>
        <v>184.44287480134204</v>
      </c>
      <c r="H177" s="2495"/>
      <c r="I177" s="2282"/>
      <c r="J177" s="2282"/>
      <c r="K177" s="2282"/>
      <c r="L177" s="2282"/>
      <c r="M177" s="2282"/>
      <c r="N177" s="2282"/>
      <c r="O177" s="2282"/>
      <c r="P177" s="2282"/>
      <c r="Q177" s="2282"/>
      <c r="R177" s="2282"/>
      <c r="S177" s="2282"/>
      <c r="T177" s="2282"/>
      <c r="U177" s="2282"/>
      <c r="V177" s="2282"/>
      <c r="W177" s="2282"/>
      <c r="X177" s="2282"/>
      <c r="Y177" s="2282"/>
      <c r="Z177" s="2282"/>
    </row>
    <row r="178" spans="1:26" ht="12.75" customHeight="1" x14ac:dyDescent="0.2">
      <c r="A178" s="2541"/>
      <c r="B178" s="2488" t="s">
        <v>1591</v>
      </c>
      <c r="C178" s="2701">
        <f>1000*Saisies_Exploitation!H46/(Autonomie!J62+SUM(Achats!H6:H8,Achats!H46:H48))</f>
        <v>1182.3195395776706</v>
      </c>
      <c r="D178" s="2541"/>
      <c r="E178" s="2785"/>
      <c r="F178" s="2781" t="s">
        <v>1595</v>
      </c>
      <c r="G178" s="2786">
        <f>C77/TA_NbVaches</f>
        <v>474.77272727272725</v>
      </c>
      <c r="H178" s="2495"/>
      <c r="I178" s="2282"/>
      <c r="J178" s="2282"/>
      <c r="K178" s="2282"/>
      <c r="L178" s="2282"/>
      <c r="M178" s="2282"/>
      <c r="N178" s="2282"/>
      <c r="O178" s="2282"/>
      <c r="P178" s="2282"/>
      <c r="Q178" s="2282"/>
      <c r="R178" s="2282"/>
      <c r="S178" s="2282"/>
      <c r="T178" s="2282"/>
      <c r="U178" s="2282"/>
      <c r="V178" s="2282"/>
      <c r="W178" s="2282"/>
      <c r="X178" s="2282"/>
      <c r="Y178" s="2282"/>
      <c r="Z178" s="2282"/>
    </row>
    <row r="179" spans="1:26" ht="12.75" customHeight="1" x14ac:dyDescent="0.2">
      <c r="A179" s="2780"/>
      <c r="B179" s="2781" t="s">
        <v>1592</v>
      </c>
      <c r="C179" s="2783">
        <f>Saisies_Exploitation!H46/Saisies_Exploitation!L50</f>
        <v>4639.082181605716</v>
      </c>
      <c r="D179" s="2541"/>
      <c r="E179" s="2785"/>
      <c r="F179" s="2781" t="s">
        <v>1412</v>
      </c>
      <c r="G179" s="2786">
        <f>C77/Saisies_Exploitation!M124</f>
        <v>317.47720364741645</v>
      </c>
      <c r="H179" s="2495"/>
      <c r="I179" s="2282"/>
      <c r="J179" s="2282"/>
      <c r="K179" s="2282"/>
      <c r="L179" s="2282"/>
      <c r="M179" s="2282"/>
      <c r="N179" s="2282"/>
      <c r="O179" s="2282"/>
      <c r="P179" s="2282"/>
      <c r="Q179" s="2282"/>
      <c r="R179" s="2282"/>
      <c r="S179" s="2282"/>
      <c r="T179" s="2282"/>
      <c r="U179" s="2282"/>
      <c r="V179" s="2282"/>
      <c r="W179" s="2282"/>
      <c r="X179" s="2282"/>
      <c r="Y179" s="2282"/>
      <c r="Z179" s="2282"/>
    </row>
    <row r="180" spans="1:26" ht="12.75" customHeight="1" x14ac:dyDescent="0.2">
      <c r="A180" s="2780"/>
      <c r="B180" s="2781" t="s">
        <v>1679</v>
      </c>
      <c r="C180" s="2784">
        <f>C76/VL_NbVaches</f>
        <v>401.76470588235293</v>
      </c>
      <c r="D180" s="2541"/>
      <c r="E180" s="2334"/>
      <c r="F180" s="2488" t="s">
        <v>1664</v>
      </c>
      <c r="G180" s="2703">
        <f>(TA_NbGenAn1+EN_NbMalAn1A)/TA_NbVaches</f>
        <v>0.95454545454545459</v>
      </c>
      <c r="H180" s="2495"/>
      <c r="I180" s="2282"/>
      <c r="J180" s="2282"/>
      <c r="K180" s="2282"/>
      <c r="L180" s="2282"/>
      <c r="M180" s="2282"/>
      <c r="N180" s="2282"/>
      <c r="O180" s="2282"/>
      <c r="P180" s="2282"/>
      <c r="Q180" s="2282"/>
      <c r="R180" s="2282"/>
      <c r="S180" s="2282"/>
      <c r="T180" s="2282"/>
      <c r="U180" s="2282"/>
      <c r="V180" s="2282"/>
      <c r="W180" s="2282"/>
      <c r="X180" s="2282"/>
      <c r="Y180" s="2282"/>
      <c r="Z180" s="2282"/>
    </row>
    <row r="181" spans="1:26" ht="12.75" customHeight="1" x14ac:dyDescent="0.2">
      <c r="A181" s="2541"/>
      <c r="B181" s="2488" t="s">
        <v>1677</v>
      </c>
      <c r="C181" s="2701">
        <f>Saisies_Exploitation!L128/VL_NbVaches</f>
        <v>219.41176470588235</v>
      </c>
      <c r="D181" s="2541"/>
      <c r="E181" s="2785"/>
      <c r="F181" s="2781" t="s">
        <v>1680</v>
      </c>
      <c r="G181" s="2786">
        <f>Saisies_Exploitation!M128/TA_NbVaches</f>
        <v>289.31818181818181</v>
      </c>
      <c r="H181" s="2495"/>
      <c r="I181" s="2282"/>
      <c r="J181" s="2282"/>
      <c r="K181" s="2282"/>
      <c r="L181" s="2282"/>
      <c r="M181" s="2282"/>
      <c r="N181" s="2282"/>
      <c r="O181" s="2282"/>
      <c r="P181" s="2282"/>
      <c r="Q181" s="2282"/>
      <c r="R181" s="2282"/>
      <c r="S181" s="2282"/>
      <c r="T181" s="2282"/>
      <c r="U181" s="2282"/>
      <c r="V181" s="2282"/>
      <c r="W181" s="2282"/>
      <c r="X181" s="2282"/>
      <c r="Y181" s="2282"/>
      <c r="Z181" s="2282"/>
    </row>
    <row r="182" spans="1:26" ht="12.75" customHeight="1" x14ac:dyDescent="0.2">
      <c r="A182" s="2550"/>
      <c r="B182" s="2583"/>
      <c r="C182" s="2583"/>
      <c r="D182" s="2550"/>
      <c r="E182" s="2583"/>
      <c r="F182" s="2691" t="s">
        <v>1678</v>
      </c>
      <c r="G182" s="2704">
        <f>Saisies_Exploitation!M128/Saisies_Exploitation!M124</f>
        <v>193.46504559270517</v>
      </c>
      <c r="H182" s="2495"/>
      <c r="I182" s="2282"/>
      <c r="J182" s="2282"/>
      <c r="K182" s="2282"/>
      <c r="L182" s="2282"/>
      <c r="M182" s="2282"/>
      <c r="N182" s="2282"/>
      <c r="O182" s="2282"/>
      <c r="P182" s="2282"/>
      <c r="Q182" s="2282"/>
      <c r="R182" s="2282"/>
      <c r="S182" s="2282"/>
      <c r="T182" s="2282"/>
      <c r="U182" s="2282"/>
      <c r="V182" s="2282"/>
      <c r="W182" s="2282"/>
      <c r="X182" s="2282"/>
      <c r="Y182" s="2282"/>
      <c r="Z182" s="2282"/>
    </row>
    <row r="183" spans="1:26" ht="5.0999999999999996" customHeight="1" x14ac:dyDescent="0.2">
      <c r="A183" s="2282"/>
      <c r="B183" s="2282"/>
      <c r="C183" s="2282"/>
      <c r="D183" s="2282"/>
      <c r="E183" s="2282"/>
      <c r="F183" s="2282"/>
      <c r="G183" s="2282"/>
      <c r="H183" s="2495"/>
      <c r="I183" s="2282"/>
      <c r="J183" s="2282"/>
      <c r="K183" s="2282"/>
      <c r="L183" s="2282"/>
      <c r="M183" s="2282"/>
      <c r="N183" s="2282"/>
      <c r="O183" s="2282"/>
      <c r="P183" s="2282"/>
      <c r="Q183" s="2282"/>
      <c r="R183" s="2282"/>
      <c r="S183" s="2282"/>
      <c r="T183" s="2282"/>
      <c r="U183" s="2282"/>
      <c r="V183" s="2282"/>
      <c r="W183" s="2282"/>
      <c r="X183" s="2282"/>
      <c r="Y183" s="2282"/>
      <c r="Z183" s="2282"/>
    </row>
    <row r="184" spans="1:26" ht="81" customHeight="1" x14ac:dyDescent="0.2">
      <c r="A184" s="3385" t="s">
        <v>1713</v>
      </c>
      <c r="B184" s="3385"/>
      <c r="C184" s="3385"/>
      <c r="D184" s="3385"/>
      <c r="E184" s="3385"/>
      <c r="F184" s="3385"/>
      <c r="G184" s="3385"/>
      <c r="H184" s="2495"/>
      <c r="I184" s="2282"/>
      <c r="J184" s="2282"/>
      <c r="K184" s="2282"/>
      <c r="L184" s="2282"/>
      <c r="M184" s="2282"/>
      <c r="N184" s="2282"/>
      <c r="O184" s="2282"/>
      <c r="P184" s="2282"/>
      <c r="Q184" s="2282"/>
      <c r="R184" s="2282"/>
      <c r="S184" s="2282"/>
      <c r="T184" s="2282"/>
      <c r="U184" s="2282"/>
      <c r="V184" s="2282"/>
      <c r="W184" s="2282"/>
      <c r="X184" s="2282"/>
      <c r="Y184" s="2282"/>
      <c r="Z184" s="2282"/>
    </row>
    <row r="185" spans="1:26" ht="12.75" customHeight="1" x14ac:dyDescent="0.2">
      <c r="A185" s="3402"/>
      <c r="B185" s="3402"/>
      <c r="C185" s="3402"/>
      <c r="D185" s="3402"/>
      <c r="E185" s="3402"/>
      <c r="F185" s="3402"/>
      <c r="G185" s="3402"/>
      <c r="H185" s="2495"/>
      <c r="I185" s="2282"/>
      <c r="J185" s="2282"/>
      <c r="K185" s="2282"/>
      <c r="L185" s="2282"/>
      <c r="M185" s="2282"/>
      <c r="N185" s="2282"/>
      <c r="O185" s="2282"/>
      <c r="P185" s="2282"/>
      <c r="Q185" s="2282"/>
      <c r="R185" s="2282"/>
      <c r="S185" s="2282"/>
      <c r="T185" s="2282"/>
      <c r="U185" s="2282"/>
      <c r="V185" s="2282"/>
      <c r="W185" s="2282"/>
      <c r="X185" s="2282"/>
      <c r="Y185" s="2282"/>
      <c r="Z185" s="2282"/>
    </row>
    <row r="186" spans="1:26" ht="12.75" customHeight="1" x14ac:dyDescent="0.2">
      <c r="A186" s="3402"/>
      <c r="B186" s="3402"/>
      <c r="C186" s="3402"/>
      <c r="D186" s="3402"/>
      <c r="E186" s="3402"/>
      <c r="F186" s="3402"/>
      <c r="G186" s="3402"/>
      <c r="H186" s="2495"/>
      <c r="I186" s="2282"/>
      <c r="J186" s="2282"/>
      <c r="K186" s="2282"/>
      <c r="L186" s="2282"/>
      <c r="M186" s="2282"/>
      <c r="N186" s="2282"/>
      <c r="O186" s="2282"/>
      <c r="P186" s="2282"/>
      <c r="Q186" s="2282"/>
      <c r="R186" s="2282"/>
      <c r="S186" s="2282"/>
      <c r="T186" s="2282"/>
      <c r="U186" s="2282"/>
      <c r="V186" s="2282"/>
      <c r="W186" s="2282"/>
      <c r="X186" s="2282"/>
      <c r="Y186" s="2282"/>
      <c r="Z186" s="2282"/>
    </row>
    <row r="187" spans="1:26" ht="12.75" customHeight="1" x14ac:dyDescent="0.2">
      <c r="A187" s="3402"/>
      <c r="B187" s="3402"/>
      <c r="C187" s="3402"/>
      <c r="D187" s="3402"/>
      <c r="E187" s="3402"/>
      <c r="F187" s="3402"/>
      <c r="G187" s="3402"/>
      <c r="H187" s="2495"/>
      <c r="I187" s="2282"/>
      <c r="J187" s="2282"/>
      <c r="K187" s="2282"/>
      <c r="L187" s="2282"/>
      <c r="M187" s="2282"/>
      <c r="N187" s="2282"/>
      <c r="O187" s="2282"/>
      <c r="P187" s="2282"/>
      <c r="Q187" s="2282"/>
      <c r="R187" s="2282"/>
      <c r="S187" s="2282"/>
      <c r="T187" s="2282"/>
      <c r="U187" s="2282"/>
      <c r="V187" s="2282"/>
      <c r="W187" s="2282"/>
      <c r="X187" s="2282"/>
      <c r="Y187" s="2282"/>
      <c r="Z187" s="2282"/>
    </row>
    <row r="188" spans="1:26" ht="12.75" customHeight="1" x14ac:dyDescent="0.2">
      <c r="A188" s="3402"/>
      <c r="B188" s="3402"/>
      <c r="C188" s="3402"/>
      <c r="D188" s="3402"/>
      <c r="E188" s="3402"/>
      <c r="F188" s="3402"/>
      <c r="G188" s="3402"/>
      <c r="H188" s="2495"/>
      <c r="I188" s="2282"/>
      <c r="J188" s="2282"/>
      <c r="K188" s="2282"/>
      <c r="L188" s="2282"/>
      <c r="M188" s="2282"/>
      <c r="N188" s="2282"/>
      <c r="O188" s="2282"/>
      <c r="P188" s="2282"/>
      <c r="Q188" s="2282"/>
      <c r="R188" s="2282"/>
      <c r="S188" s="2282"/>
      <c r="T188" s="2282"/>
      <c r="U188" s="2282"/>
      <c r="V188" s="2282"/>
      <c r="W188" s="2282"/>
      <c r="X188" s="2282"/>
      <c r="Y188" s="2282"/>
      <c r="Z188" s="2282"/>
    </row>
    <row r="189" spans="1:26" ht="12.75" customHeight="1" x14ac:dyDescent="0.2"/>
    <row r="190" spans="1:26" ht="12.75" customHeight="1" x14ac:dyDescent="0.2"/>
    <row r="191" spans="1:26" ht="12.75" customHeight="1" x14ac:dyDescent="0.2"/>
    <row r="192" spans="1:26"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sheetData>
  <sheetProtection algorithmName="SHA-512" hashValue="UwzpssSFnbg9GXqVDqzo611QdFSWkagEytPy8YP344FkVjn2ySmd/ufRLSStHMQ6J/TcHd4KF8xIad0LfiWA8w==" saltValue="XcMIPFnjqAZsjCeEgh6WhQ==" spinCount="100000" sheet="1" objects="1" scenarios="1"/>
  <sortState ref="AH176:AH201">
    <sortCondition ref="AH176:AH201"/>
  </sortState>
  <mergeCells count="74">
    <mergeCell ref="A185:G185"/>
    <mergeCell ref="A186:G186"/>
    <mergeCell ref="A187:G187"/>
    <mergeCell ref="A188:G188"/>
    <mergeCell ref="A161:G161"/>
    <mergeCell ref="A184:G184"/>
    <mergeCell ref="A47:G47"/>
    <mergeCell ref="A55:G55"/>
    <mergeCell ref="A62:G62"/>
    <mergeCell ref="A46:G46"/>
    <mergeCell ref="A4:G4"/>
    <mergeCell ref="C10:D10"/>
    <mergeCell ref="C11:D11"/>
    <mergeCell ref="A25:E25"/>
    <mergeCell ref="F25:G25"/>
    <mergeCell ref="A19:B19"/>
    <mergeCell ref="C19:E19"/>
    <mergeCell ref="A45:G45"/>
    <mergeCell ref="B38:C38"/>
    <mergeCell ref="E38:F38"/>
    <mergeCell ref="A32:E32"/>
    <mergeCell ref="F36:G36"/>
    <mergeCell ref="A1:F1"/>
    <mergeCell ref="A3:G3"/>
    <mergeCell ref="F33:G33"/>
    <mergeCell ref="F32:G32"/>
    <mergeCell ref="F35:G35"/>
    <mergeCell ref="A37:G37"/>
    <mergeCell ref="F34:G34"/>
    <mergeCell ref="F19:G19"/>
    <mergeCell ref="A160:G160"/>
    <mergeCell ref="A93:G93"/>
    <mergeCell ref="A94:G94"/>
    <mergeCell ref="A104:F104"/>
    <mergeCell ref="A103:G103"/>
    <mergeCell ref="A108:G108"/>
    <mergeCell ref="A109:G109"/>
    <mergeCell ref="A117:G117"/>
    <mergeCell ref="A124:G124"/>
    <mergeCell ref="A158:G158"/>
    <mergeCell ref="A131:G131"/>
    <mergeCell ref="A149:G149"/>
    <mergeCell ref="A102:G102"/>
    <mergeCell ref="A153:G153"/>
    <mergeCell ref="F143:G143"/>
    <mergeCell ref="A71:B71"/>
    <mergeCell ref="A48:G48"/>
    <mergeCell ref="A54:G54"/>
    <mergeCell ref="A129:G129"/>
    <mergeCell ref="A141:G141"/>
    <mergeCell ref="A82:G82"/>
    <mergeCell ref="A135:B135"/>
    <mergeCell ref="A136:B136"/>
    <mergeCell ref="A132:G132"/>
    <mergeCell ref="A134:G134"/>
    <mergeCell ref="F135:G135"/>
    <mergeCell ref="A138:B140"/>
    <mergeCell ref="A91:G91"/>
    <mergeCell ref="A64:G64"/>
    <mergeCell ref="A63:F63"/>
    <mergeCell ref="A66:G66"/>
    <mergeCell ref="A152:G152"/>
    <mergeCell ref="A81:B81"/>
    <mergeCell ref="A74:G74"/>
    <mergeCell ref="A143:B143"/>
    <mergeCell ref="A150:G150"/>
    <mergeCell ref="A146:B148"/>
    <mergeCell ref="A105:G105"/>
    <mergeCell ref="A128:G128"/>
    <mergeCell ref="F56:G57"/>
    <mergeCell ref="F58:G58"/>
    <mergeCell ref="F59:G59"/>
    <mergeCell ref="F60:G60"/>
    <mergeCell ref="F61:G61"/>
  </mergeCells>
  <conditionalFormatting sqref="E8">
    <cfRule type="cellIs" dxfId="49" priority="40" operator="lessThan">
      <formula>0.05</formula>
    </cfRule>
  </conditionalFormatting>
  <conditionalFormatting sqref="C8">
    <cfRule type="cellIs" dxfId="48" priority="39" operator="lessThan">
      <formula>0.35</formula>
    </cfRule>
  </conditionalFormatting>
  <conditionalFormatting sqref="B16">
    <cfRule type="cellIs" dxfId="47" priority="38" operator="greaterThan">
      <formula>"1.7+0.3*TA_NbVaches/(VL_NbVaches+TA_NbVaches)"</formula>
    </cfRule>
  </conditionalFormatting>
  <conditionalFormatting sqref="F15">
    <cfRule type="cellIs" dxfId="46" priority="37" operator="greaterThan">
      <formula>0.35</formula>
    </cfRule>
  </conditionalFormatting>
  <conditionalFormatting sqref="F17">
    <cfRule type="cellIs" dxfId="45" priority="36" operator="greaterThan">
      <formula>0.3</formula>
    </cfRule>
  </conditionalFormatting>
  <conditionalFormatting sqref="B22">
    <cfRule type="cellIs" dxfId="44" priority="35" operator="lessThan">
      <formula>140</formula>
    </cfRule>
  </conditionalFormatting>
  <conditionalFormatting sqref="G20">
    <cfRule type="cellIs" dxfId="43" priority="34" operator="lessThan">
      <formula>5.5</formula>
    </cfRule>
  </conditionalFormatting>
  <conditionalFormatting sqref="G21">
    <cfRule type="cellIs" dxfId="42" priority="33" operator="lessThan">
      <formula>0.92</formula>
    </cfRule>
  </conditionalFormatting>
  <conditionalFormatting sqref="G23">
    <cfRule type="cellIs" dxfId="41" priority="31" operator="lessThan">
      <formula>0.8</formula>
    </cfRule>
  </conditionalFormatting>
  <conditionalFormatting sqref="C27">
    <cfRule type="cellIs" dxfId="40" priority="30" operator="greaterThan">
      <formula>120</formula>
    </cfRule>
  </conditionalFormatting>
  <conditionalFormatting sqref="E27">
    <cfRule type="cellIs" dxfId="39" priority="29" operator="greaterThan">
      <formula>140</formula>
    </cfRule>
  </conditionalFormatting>
  <conditionalFormatting sqref="C29">
    <cfRule type="cellIs" dxfId="38" priority="28" operator="greaterThan">
      <formula>60</formula>
    </cfRule>
  </conditionalFormatting>
  <conditionalFormatting sqref="E29">
    <cfRule type="cellIs" dxfId="37" priority="27" operator="greaterThan">
      <formula>80</formula>
    </cfRule>
  </conditionalFormatting>
  <conditionalFormatting sqref="F27">
    <cfRule type="cellIs" dxfId="36" priority="25" operator="greaterThan">
      <formula>25</formula>
    </cfRule>
    <cfRule type="cellIs" dxfId="35" priority="26" operator="between">
      <formula>20</formula>
      <formula>25</formula>
    </cfRule>
  </conditionalFormatting>
  <conditionalFormatting sqref="F28">
    <cfRule type="expression" dxfId="34" priority="23">
      <formula>IF($F$27&gt;25,TRUE,FALSE)</formula>
    </cfRule>
    <cfRule type="expression" dxfId="33" priority="24">
      <formula>IF($F$27&gt;20,TRUE,FALSE)</formula>
    </cfRule>
  </conditionalFormatting>
  <conditionalFormatting sqref="G28">
    <cfRule type="expression" dxfId="32" priority="21">
      <formula>IF($F$27&gt;120,TRUE,FALSE)</formula>
    </cfRule>
    <cfRule type="expression" dxfId="31" priority="22">
      <formula>IF($F$27&gt;80,TRUE,FALSE)</formula>
    </cfRule>
  </conditionalFormatting>
  <conditionalFormatting sqref="G27">
    <cfRule type="cellIs" dxfId="30" priority="19" operator="greaterThan">
      <formula>120</formula>
    </cfRule>
    <cfRule type="cellIs" dxfId="29" priority="20" operator="between">
      <formula>100</formula>
      <formula>120</formula>
    </cfRule>
  </conditionalFormatting>
  <conditionalFormatting sqref="C50">
    <cfRule type="cellIs" dxfId="28" priority="18" operator="greaterThan">
      <formula>1.3</formula>
    </cfRule>
  </conditionalFormatting>
  <conditionalFormatting sqref="C51">
    <cfRule type="cellIs" dxfId="27" priority="17" operator="greaterThan">
      <formula>1</formula>
    </cfRule>
  </conditionalFormatting>
  <conditionalFormatting sqref="C52">
    <cfRule type="cellIs" dxfId="26" priority="16" operator="greaterThan">
      <formula>1</formula>
    </cfRule>
  </conditionalFormatting>
  <conditionalFormatting sqref="C53">
    <cfRule type="cellIs" dxfId="25" priority="14" operator="greaterThan">
      <formula>2.5</formula>
    </cfRule>
    <cfRule type="cellIs" dxfId="24" priority="15" operator="between">
      <formula>2</formula>
      <formula>2.5</formula>
    </cfRule>
  </conditionalFormatting>
  <conditionalFormatting sqref="E50">
    <cfRule type="cellIs" dxfId="23" priority="13" operator="greaterThan">
      <formula>2.5</formula>
    </cfRule>
  </conditionalFormatting>
  <conditionalFormatting sqref="E51">
    <cfRule type="cellIs" dxfId="22" priority="12" operator="greaterThan">
      <formula>2</formula>
    </cfRule>
  </conditionalFormatting>
  <conditionalFormatting sqref="E52">
    <cfRule type="cellIs" dxfId="21" priority="11" operator="greaterThan">
      <formula>2</formula>
    </cfRule>
  </conditionalFormatting>
  <conditionalFormatting sqref="E53">
    <cfRule type="cellIs" dxfId="20" priority="9" operator="greaterThan">
      <formula>2.5</formula>
    </cfRule>
    <cfRule type="cellIs" dxfId="19" priority="10" operator="between">
      <formula>2</formula>
      <formula>2.5</formula>
    </cfRule>
  </conditionalFormatting>
  <conditionalFormatting sqref="E71">
    <cfRule type="cellIs" dxfId="18" priority="6" operator="lessThan">
      <formula>0.2</formula>
    </cfRule>
  </conditionalFormatting>
  <conditionalFormatting sqref="E81">
    <cfRule type="cellIs" dxfId="17" priority="5" operator="lessThan">
      <formula>0.1</formula>
    </cfRule>
  </conditionalFormatting>
  <conditionalFormatting sqref="D171">
    <cfRule type="cellIs" dxfId="16" priority="4" operator="lessThan">
      <formula>0.5</formula>
    </cfRule>
  </conditionalFormatting>
  <conditionalFormatting sqref="E90">
    <cfRule type="cellIs" dxfId="15" priority="2" operator="greaterThan">
      <formula>1.5</formula>
    </cfRule>
  </conditionalFormatting>
  <conditionalFormatting sqref="A82:G82">
    <cfRule type="expression" dxfId="14" priority="221">
      <formula>IF($E$81&lt;0.1,TRUE,FALSE)</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5233" r:id="rId4" name="Button 1">
              <controlPr defaultSize="0" print="0" autoFill="0" autoPict="0" macro="[0]!Retour_Presentation">
                <anchor moveWithCells="1" sizeWithCells="1">
                  <from>
                    <xdr:col>5</xdr:col>
                    <xdr:colOff>895350</xdr:colOff>
                    <xdr:row>0</xdr:row>
                    <xdr:rowOff>0</xdr:rowOff>
                  </from>
                  <to>
                    <xdr:col>6</xdr:col>
                    <xdr:colOff>1200150</xdr:colOff>
                    <xdr:row>3</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1">
    <tabColor theme="4" tint="-0.249977111117893"/>
  </sheetPr>
  <dimension ref="A1:BZ207"/>
  <sheetViews>
    <sheetView topLeftCell="A122" workbookViewId="0">
      <selection activeCell="F125" sqref="F125"/>
    </sheetView>
  </sheetViews>
  <sheetFormatPr baseColWidth="10" defaultRowHeight="12.75" x14ac:dyDescent="0.2"/>
  <cols>
    <col min="1" max="1" width="3.140625" customWidth="1"/>
    <col min="2" max="2" width="34.140625" bestFit="1" customWidth="1"/>
    <col min="3" max="3" width="14.28515625" bestFit="1" customWidth="1"/>
    <col min="4" max="4" width="18.140625" customWidth="1"/>
    <col min="5" max="5" width="12.42578125" bestFit="1" customWidth="1"/>
    <col min="6" max="6" width="13.5703125" customWidth="1"/>
    <col min="7" max="7" width="10.5703125" customWidth="1"/>
    <col min="8" max="8" width="9.28515625" customWidth="1"/>
    <col min="9" max="9" width="15" customWidth="1"/>
    <col min="27" max="27" width="33" hidden="1" customWidth="1"/>
    <col min="28" max="33" width="11.42578125" hidden="1" customWidth="1"/>
    <col min="34" max="34" width="15.28515625" hidden="1" customWidth="1"/>
    <col min="35" max="35" width="10.42578125" hidden="1" customWidth="1"/>
    <col min="36" max="36" width="7.140625" hidden="1" customWidth="1"/>
    <col min="37" max="40" width="11.42578125" hidden="1" customWidth="1"/>
    <col min="41" max="41" width="8.85546875" hidden="1" customWidth="1"/>
    <col min="42" max="43" width="7.28515625" hidden="1" customWidth="1"/>
    <col min="44" max="46" width="8.28515625" hidden="1" customWidth="1"/>
    <col min="47" max="78" width="11.42578125" hidden="1" customWidth="1"/>
  </cols>
  <sheetData>
    <row r="1" spans="1:34" ht="38.25" customHeight="1" x14ac:dyDescent="0.2">
      <c r="A1" s="1944"/>
      <c r="B1" s="1944"/>
      <c r="C1" s="1944"/>
      <c r="D1" s="1944"/>
      <c r="E1" s="1944"/>
      <c r="F1" s="1944"/>
      <c r="G1" s="1944"/>
      <c r="H1" s="1944"/>
      <c r="I1" s="1944"/>
    </row>
    <row r="2" spans="1:34" ht="15.75" x14ac:dyDescent="0.25">
      <c r="A2" s="1944"/>
      <c r="B2" s="3403" t="str">
        <f>A6</f>
        <v>Saisies de données pour établir les balances globales NPK (type CORPEN, réglementation)</v>
      </c>
      <c r="C2" s="3403"/>
      <c r="D2" s="3403"/>
      <c r="E2" s="3403"/>
      <c r="F2" s="3403"/>
      <c r="G2" s="3403"/>
      <c r="H2" s="3403"/>
      <c r="I2" s="3403"/>
    </row>
    <row r="3" spans="1:34" ht="15.75" x14ac:dyDescent="0.25">
      <c r="A3" s="1944"/>
      <c r="B3" s="1973"/>
      <c r="C3" s="1944"/>
      <c r="D3" s="1944"/>
      <c r="E3" s="1944"/>
      <c r="F3" s="1944"/>
      <c r="G3" s="1944"/>
      <c r="H3" s="1944"/>
      <c r="I3" s="1944"/>
    </row>
    <row r="4" spans="1:34" ht="15.75" x14ac:dyDescent="0.25">
      <c r="A4" s="1944"/>
      <c r="B4" s="3403" t="str">
        <f>A37</f>
        <v>Saisies de données pour établir le bilan apparent des minéraux (type INRA 1992 et Institut de l'Elevage 1995)</v>
      </c>
      <c r="C4" s="3403"/>
      <c r="D4" s="3403"/>
      <c r="E4" s="3403"/>
      <c r="F4" s="3403"/>
      <c r="G4" s="3403"/>
      <c r="H4" s="3403"/>
      <c r="I4" s="3403"/>
    </row>
    <row r="5" spans="1:34" x14ac:dyDescent="0.2">
      <c r="A5" s="1944"/>
      <c r="B5" s="1944"/>
      <c r="C5" s="1944"/>
      <c r="D5" s="1944"/>
      <c r="E5" s="1944"/>
      <c r="F5" s="1944"/>
      <c r="G5" s="1944"/>
      <c r="H5" s="1944"/>
      <c r="I5" s="1944"/>
    </row>
    <row r="6" spans="1:34" ht="15" x14ac:dyDescent="0.25">
      <c r="A6" s="1974" t="s">
        <v>1915</v>
      </c>
      <c r="B6" s="1944"/>
      <c r="C6" s="1957"/>
      <c r="D6" s="1944"/>
      <c r="E6" s="1944"/>
      <c r="F6" s="1944"/>
      <c r="G6" s="1944"/>
      <c r="H6" s="1944"/>
      <c r="I6" s="1944"/>
      <c r="AB6" s="1520" t="s">
        <v>703</v>
      </c>
      <c r="AC6" s="1520" t="s">
        <v>705</v>
      </c>
    </row>
    <row r="7" spans="1:34" x14ac:dyDescent="0.2">
      <c r="A7" s="1944"/>
      <c r="B7" s="1944"/>
      <c r="C7" s="1944"/>
      <c r="D7" s="1944"/>
      <c r="E7" s="1944"/>
      <c r="F7" s="1944"/>
      <c r="G7" s="1944"/>
      <c r="H7" s="1944"/>
      <c r="I7" s="1944"/>
      <c r="AB7" s="1520" t="s">
        <v>704</v>
      </c>
      <c r="AC7" s="1520" t="s">
        <v>1801</v>
      </c>
    </row>
    <row r="8" spans="1:34" ht="39.950000000000003" customHeight="1" x14ac:dyDescent="0.2">
      <c r="A8" s="1944"/>
      <c r="B8" s="3404" t="s">
        <v>1911</v>
      </c>
      <c r="C8" s="3405"/>
      <c r="D8" s="3405"/>
      <c r="E8" s="1944"/>
      <c r="F8" s="1944"/>
      <c r="G8" s="1944"/>
      <c r="H8" s="1944"/>
      <c r="I8" s="1944"/>
      <c r="AB8" s="1520" t="s">
        <v>766</v>
      </c>
      <c r="AC8" s="1520" t="s">
        <v>1800</v>
      </c>
    </row>
    <row r="9" spans="1:34" x14ac:dyDescent="0.2">
      <c r="A9" s="1944"/>
      <c r="B9" s="1944"/>
      <c r="C9" s="1945" t="s">
        <v>1798</v>
      </c>
      <c r="D9" s="1944"/>
      <c r="E9" s="1944"/>
      <c r="F9" s="1944"/>
      <c r="G9" s="1944"/>
      <c r="H9" s="1944"/>
      <c r="I9" s="1944"/>
      <c r="AB9" s="1520" t="s">
        <v>1799</v>
      </c>
      <c r="AC9" s="1947" t="s">
        <v>625</v>
      </c>
      <c r="AD9" s="1947" t="s">
        <v>187</v>
      </c>
      <c r="AE9" s="1947" t="s">
        <v>665</v>
      </c>
      <c r="AF9" s="1947" t="s">
        <v>625</v>
      </c>
      <c r="AG9" s="1947" t="s">
        <v>187</v>
      </c>
      <c r="AH9" s="1947" t="s">
        <v>665</v>
      </c>
    </row>
    <row r="10" spans="1:34" x14ac:dyDescent="0.2">
      <c r="A10" s="1944"/>
      <c r="B10" s="1944" t="str">
        <f>Saisie_Bilan!AA10</f>
        <v>Blé tendre</v>
      </c>
      <c r="C10" s="1987"/>
      <c r="D10" s="1971" t="str">
        <f>VLOOKUP(Saisie_Bilan!AB10,Saisie_Bilan!$AB$6:$AC$8,2,FALSE)</f>
        <v>Quintaux</v>
      </c>
      <c r="E10" s="1972"/>
      <c r="F10" s="1972"/>
      <c r="G10" s="1972"/>
      <c r="H10" s="1972"/>
      <c r="I10" s="1972"/>
      <c r="AA10" s="1946" t="str">
        <f>Paramètres!AQ7</f>
        <v>Blé tendre</v>
      </c>
      <c r="AB10" s="1821" t="str">
        <f>Paramètres!AR7</f>
        <v>Q</v>
      </c>
      <c r="AC10" s="1948">
        <f>Paramètres!AV7</f>
        <v>2.2000000000000002</v>
      </c>
      <c r="AD10" s="1948">
        <f>Paramètres!AW7</f>
        <v>0.75</v>
      </c>
      <c r="AE10" s="1948">
        <f>Paramètres!AX7</f>
        <v>1.1000000000000001</v>
      </c>
      <c r="AF10" s="1821">
        <f>AC10*Saisie_Bilan!$C10</f>
        <v>0</v>
      </c>
      <c r="AG10" s="1821">
        <f>AD10*Saisie_Bilan!$C10</f>
        <v>0</v>
      </c>
      <c r="AH10" s="1821">
        <f>AE10*Saisie_Bilan!$C10</f>
        <v>0</v>
      </c>
    </row>
    <row r="11" spans="1:34" x14ac:dyDescent="0.2">
      <c r="A11" s="1944"/>
      <c r="B11" s="1944" t="str">
        <f>Saisie_Bilan!AA11</f>
        <v>Blé améliorant et blé dur</v>
      </c>
      <c r="C11" s="1987"/>
      <c r="D11" s="1971" t="str">
        <f>VLOOKUP(Saisie_Bilan!AB11,Saisie_Bilan!$AB$6:$AC$8,2,FALSE)</f>
        <v>Quintaux</v>
      </c>
      <c r="E11" s="1972"/>
      <c r="F11" s="1972"/>
      <c r="G11" s="1972"/>
      <c r="H11" s="1972"/>
      <c r="I11" s="1972"/>
      <c r="AA11" s="1946" t="str">
        <f>Paramètres!AQ8</f>
        <v>Blé améliorant et blé dur</v>
      </c>
      <c r="AB11" s="1821" t="str">
        <f>Paramètres!AR8</f>
        <v>Q</v>
      </c>
      <c r="AC11" s="1948">
        <f>Paramètres!AV8</f>
        <v>2.6</v>
      </c>
      <c r="AD11" s="1948">
        <f>Paramètres!AW8</f>
        <v>0.6</v>
      </c>
      <c r="AE11" s="1948">
        <f>Paramètres!AX8</f>
        <v>1</v>
      </c>
      <c r="AF11" s="1821">
        <f>AC11*Saisie_Bilan!$C11</f>
        <v>0</v>
      </c>
      <c r="AG11" s="1821">
        <f>AD11*Saisie_Bilan!$C11</f>
        <v>0</v>
      </c>
      <c r="AH11" s="1821">
        <f>AE11*Saisie_Bilan!$C11</f>
        <v>0</v>
      </c>
    </row>
    <row r="12" spans="1:34" x14ac:dyDescent="0.2">
      <c r="A12" s="1944"/>
      <c r="B12" s="1944" t="str">
        <f>Saisie_Bilan!AA12</f>
        <v>Triticale</v>
      </c>
      <c r="C12" s="1987"/>
      <c r="D12" s="1971" t="str">
        <f>VLOOKUP(Saisie_Bilan!AB12,Saisie_Bilan!$AB$6:$AC$8,2,FALSE)</f>
        <v>Quintaux</v>
      </c>
      <c r="E12" s="1972"/>
      <c r="F12" s="1972"/>
      <c r="G12" s="1972"/>
      <c r="H12" s="1972"/>
      <c r="I12" s="1972"/>
      <c r="AA12" s="1946" t="str">
        <f>Paramètres!AQ9</f>
        <v>Triticale</v>
      </c>
      <c r="AB12" s="1821" t="str">
        <f>Paramètres!AR9</f>
        <v>Q</v>
      </c>
      <c r="AC12" s="1948">
        <f>Paramètres!AV9</f>
        <v>1.9</v>
      </c>
      <c r="AD12" s="1948">
        <f>Paramètres!AW9</f>
        <v>0.8</v>
      </c>
      <c r="AE12" s="1948">
        <f>Paramètres!AX9</f>
        <v>1</v>
      </c>
      <c r="AF12" s="1821">
        <f>AC12*Saisie_Bilan!$C12</f>
        <v>0</v>
      </c>
      <c r="AG12" s="1821">
        <f>AD12*Saisie_Bilan!$C12</f>
        <v>0</v>
      </c>
      <c r="AH12" s="1821">
        <f>AE12*Saisie_Bilan!$C12</f>
        <v>0</v>
      </c>
    </row>
    <row r="13" spans="1:34" x14ac:dyDescent="0.2">
      <c r="A13" s="1944"/>
      <c r="B13" s="1944" t="str">
        <f>Saisie_Bilan!AA13</f>
        <v>Orge, seigle, avoine</v>
      </c>
      <c r="C13" s="1987"/>
      <c r="D13" s="1971" t="str">
        <f>VLOOKUP(Saisie_Bilan!AB13,Saisie_Bilan!$AB$6:$AC$8,2,FALSE)</f>
        <v>Quintaux</v>
      </c>
      <c r="E13" s="1972"/>
      <c r="F13" s="1972"/>
      <c r="G13" s="1972"/>
      <c r="H13" s="1972"/>
      <c r="I13" s="1972"/>
      <c r="AA13" s="1946" t="str">
        <f>Paramètres!AQ10</f>
        <v>Orge, seigle, avoine</v>
      </c>
      <c r="AB13" s="1821" t="str">
        <f>Paramètres!AR10</f>
        <v>Q</v>
      </c>
      <c r="AC13" s="1948">
        <f>Paramètres!AV10</f>
        <v>2.2000000000000002</v>
      </c>
      <c r="AD13" s="1948">
        <f>Paramètres!AW10</f>
        <v>0.7</v>
      </c>
      <c r="AE13" s="1948">
        <f>Paramètres!AX10</f>
        <v>1.2</v>
      </c>
      <c r="AF13" s="1821">
        <f>AC13*Saisie_Bilan!$C13</f>
        <v>0</v>
      </c>
      <c r="AG13" s="1821">
        <f>AD13*Saisie_Bilan!$C13</f>
        <v>0</v>
      </c>
      <c r="AH13" s="1821">
        <f>AE13*Saisie_Bilan!$C13</f>
        <v>0</v>
      </c>
    </row>
    <row r="14" spans="1:34" x14ac:dyDescent="0.2">
      <c r="A14" s="1944"/>
      <c r="B14" s="1944" t="str">
        <f>Saisie_Bilan!AA14</f>
        <v>Maïs grain</v>
      </c>
      <c r="C14" s="1987"/>
      <c r="D14" s="1971" t="str">
        <f>VLOOKUP(Saisie_Bilan!AB14,Saisie_Bilan!$AB$6:$AC$8,2,FALSE)</f>
        <v>Quintaux</v>
      </c>
      <c r="E14" s="1972"/>
      <c r="F14" s="1972"/>
      <c r="G14" s="1972"/>
      <c r="H14" s="1972"/>
      <c r="I14" s="1972"/>
      <c r="AA14" s="1946" t="str">
        <f>Paramètres!AQ11</f>
        <v>Maïs grain</v>
      </c>
      <c r="AB14" s="1821" t="str">
        <f>Paramètres!AR11</f>
        <v>Q</v>
      </c>
      <c r="AC14" s="1948">
        <f>Paramètres!AV11</f>
        <v>2.2000000000000002</v>
      </c>
      <c r="AD14" s="1948">
        <f>Paramètres!AW11</f>
        <v>1.2</v>
      </c>
      <c r="AE14" s="1948">
        <f>Paramètres!AX11</f>
        <v>0.85</v>
      </c>
      <c r="AF14" s="1821">
        <f>AC14*Saisie_Bilan!$C14</f>
        <v>0</v>
      </c>
      <c r="AG14" s="1821">
        <f>AD14*Saisie_Bilan!$C14</f>
        <v>0</v>
      </c>
      <c r="AH14" s="1821">
        <f>AE14*Saisie_Bilan!$C14</f>
        <v>0</v>
      </c>
    </row>
    <row r="15" spans="1:34" x14ac:dyDescent="0.2">
      <c r="A15" s="1944"/>
      <c r="B15" s="1944" t="str">
        <f>Saisie_Bilan!AA15</f>
        <v>Maïs ensilage</v>
      </c>
      <c r="C15" s="1987"/>
      <c r="D15" s="1971" t="str">
        <f>VLOOKUP(Saisie_Bilan!AB15,Saisie_Bilan!$AB$6:$AC$8,2,FALSE)</f>
        <v>Tonnes Matières Sèches</v>
      </c>
      <c r="E15" s="1972"/>
      <c r="F15" s="1972"/>
      <c r="G15" s="1972"/>
      <c r="H15" s="1972"/>
      <c r="I15" s="1972"/>
      <c r="AA15" s="1946" t="str">
        <f>Paramètres!AQ12</f>
        <v>Maïs ensilage</v>
      </c>
      <c r="AB15" s="1821" t="str">
        <f>Paramètres!AR12</f>
        <v>TS</v>
      </c>
      <c r="AC15" s="1948">
        <f>Paramètres!AV12</f>
        <v>11.5</v>
      </c>
      <c r="AD15" s="1948">
        <f>Paramètres!AW12</f>
        <v>4</v>
      </c>
      <c r="AE15" s="1948">
        <f>Paramètres!AX12</f>
        <v>12</v>
      </c>
      <c r="AF15" s="1821">
        <f>AC15*Saisie_Bilan!$C15</f>
        <v>0</v>
      </c>
      <c r="AG15" s="1821">
        <f>AD15*Saisie_Bilan!$C15</f>
        <v>0</v>
      </c>
      <c r="AH15" s="1821">
        <f>AE15*Saisie_Bilan!$C15</f>
        <v>0</v>
      </c>
    </row>
    <row r="16" spans="1:34" x14ac:dyDescent="0.2">
      <c r="A16" s="1944"/>
      <c r="B16" s="1944" t="str">
        <f>Saisie_Bilan!AA16</f>
        <v>Colza</v>
      </c>
      <c r="C16" s="1987"/>
      <c r="D16" s="1971" t="str">
        <f>VLOOKUP(Saisie_Bilan!AB16,Saisie_Bilan!$AB$6:$AC$8,2,FALSE)</f>
        <v>Quintaux</v>
      </c>
      <c r="E16" s="1972"/>
      <c r="F16" s="1972"/>
      <c r="G16" s="1972"/>
      <c r="H16" s="1972"/>
      <c r="I16" s="1972"/>
      <c r="AA16" s="1946" t="str">
        <f>Paramètres!AQ13</f>
        <v>Colza</v>
      </c>
      <c r="AB16" s="1821" t="str">
        <f>Paramètres!AR13</f>
        <v>Q</v>
      </c>
      <c r="AC16" s="1948">
        <f>Paramètres!AV13</f>
        <v>4.5</v>
      </c>
      <c r="AD16" s="1948">
        <f>Paramètres!AW13</f>
        <v>1.5</v>
      </c>
      <c r="AE16" s="1948">
        <f>Paramètres!AX13</f>
        <v>2.8</v>
      </c>
      <c r="AF16" s="1821">
        <f>AC16*Saisie_Bilan!$C16</f>
        <v>0</v>
      </c>
      <c r="AG16" s="1821">
        <f>AD16*Saisie_Bilan!$C16</f>
        <v>0</v>
      </c>
      <c r="AH16" s="1821">
        <f>AE16*Saisie_Bilan!$C16</f>
        <v>0</v>
      </c>
    </row>
    <row r="17" spans="1:34" x14ac:dyDescent="0.2">
      <c r="A17" s="1944"/>
      <c r="B17" s="1944" t="str">
        <f>Saisie_Bilan!AA17</f>
        <v>Tournesol</v>
      </c>
      <c r="C17" s="1987"/>
      <c r="D17" s="1971" t="str">
        <f>VLOOKUP(Saisie_Bilan!AB17,Saisie_Bilan!$AB$6:$AC$8,2,FALSE)</f>
        <v>Quintaux</v>
      </c>
      <c r="E17" s="1972"/>
      <c r="F17" s="1972"/>
      <c r="G17" s="1972"/>
      <c r="H17" s="1972"/>
      <c r="I17" s="1972"/>
      <c r="AA17" s="1946" t="str">
        <f>Paramètres!AQ14</f>
        <v>Tournesol</v>
      </c>
      <c r="AB17" s="1821" t="str">
        <f>Paramètres!AR14</f>
        <v>Q</v>
      </c>
      <c r="AC17" s="1948">
        <f>Paramètres!AV14</f>
        <v>2.8</v>
      </c>
      <c r="AD17" s="1948">
        <f>Paramètres!AW14</f>
        <v>1.5</v>
      </c>
      <c r="AE17" s="1948">
        <f>Paramètres!AX14</f>
        <v>2</v>
      </c>
      <c r="AF17" s="1821">
        <f>AC17*Saisie_Bilan!$C17</f>
        <v>0</v>
      </c>
      <c r="AG17" s="1821">
        <f>AD17*Saisie_Bilan!$C17</f>
        <v>0</v>
      </c>
      <c r="AH17" s="1821">
        <f>AE17*Saisie_Bilan!$C17</f>
        <v>0</v>
      </c>
    </row>
    <row r="18" spans="1:34" x14ac:dyDescent="0.2">
      <c r="A18" s="1944"/>
      <c r="B18" s="1944" t="str">
        <f>Saisie_Bilan!AA18</f>
        <v>Sorgho grain et ensilage</v>
      </c>
      <c r="C18" s="1987"/>
      <c r="D18" s="1971" t="str">
        <f>VLOOKUP(Saisie_Bilan!AB18,Saisie_Bilan!$AB$6:$AC$8,2,FALSE)</f>
        <v>Quintaux</v>
      </c>
      <c r="E18" s="1972"/>
      <c r="F18" s="1972"/>
      <c r="G18" s="1972"/>
      <c r="H18" s="1972"/>
      <c r="I18" s="1972"/>
      <c r="AA18" s="1946" t="str">
        <f>Paramètres!AQ15</f>
        <v>Sorgho grain et ensilage</v>
      </c>
      <c r="AB18" s="1821" t="str">
        <f>Paramètres!AR15</f>
        <v>Q</v>
      </c>
      <c r="AC18" s="1948">
        <f>Paramètres!AV15</f>
        <v>2</v>
      </c>
      <c r="AD18" s="1948">
        <f>Paramètres!AW15</f>
        <v>1.4</v>
      </c>
      <c r="AE18" s="1948">
        <f>Paramètres!AX15</f>
        <v>0.8</v>
      </c>
      <c r="AF18" s="1821">
        <f>AC18*Saisie_Bilan!$C18</f>
        <v>0</v>
      </c>
      <c r="AG18" s="1821">
        <f>AD18*Saisie_Bilan!$C18</f>
        <v>0</v>
      </c>
      <c r="AH18" s="1821">
        <f>AE18*Saisie_Bilan!$C18</f>
        <v>0</v>
      </c>
    </row>
    <row r="19" spans="1:34" x14ac:dyDescent="0.2">
      <c r="A19" s="1944"/>
      <c r="B19" s="1944" t="str">
        <f>Saisie_Bilan!AA19</f>
        <v>Soja</v>
      </c>
      <c r="C19" s="1987"/>
      <c r="D19" s="1971" t="str">
        <f>VLOOKUP(Saisie_Bilan!AB19,Saisie_Bilan!$AB$6:$AC$8,2,FALSE)</f>
        <v>Quintaux</v>
      </c>
      <c r="E19" s="1972"/>
      <c r="F19" s="1972"/>
      <c r="G19" s="1972"/>
      <c r="H19" s="1972"/>
      <c r="I19" s="1972"/>
      <c r="AA19" s="1946" t="str">
        <f>Paramètres!AQ16</f>
        <v>Soja</v>
      </c>
      <c r="AB19" s="1821" t="str">
        <f>Paramètres!AR16</f>
        <v>Q</v>
      </c>
      <c r="AC19" s="1948">
        <f>Paramètres!AV16</f>
        <v>7</v>
      </c>
      <c r="AD19" s="1948">
        <f>Paramètres!AW16</f>
        <v>1.2</v>
      </c>
      <c r="AE19" s="1948">
        <f>Paramètres!AX16</f>
        <v>1.8</v>
      </c>
      <c r="AF19" s="1821">
        <f>AC19*Saisie_Bilan!$C19</f>
        <v>0</v>
      </c>
      <c r="AG19" s="1821">
        <f>AD19*Saisie_Bilan!$C19</f>
        <v>0</v>
      </c>
      <c r="AH19" s="1821">
        <f>AE19*Saisie_Bilan!$C19</f>
        <v>0</v>
      </c>
    </row>
    <row r="20" spans="1:34" x14ac:dyDescent="0.2">
      <c r="A20" s="1944"/>
      <c r="B20" s="1944" t="str">
        <f>Saisie_Bilan!AA20</f>
        <v>Lupin</v>
      </c>
      <c r="C20" s="1987"/>
      <c r="D20" s="1971" t="str">
        <f>VLOOKUP(Saisie_Bilan!AB20,Saisie_Bilan!$AB$6:$AC$8,2,FALSE)</f>
        <v>Quintaux</v>
      </c>
      <c r="E20" s="1972"/>
      <c r="F20" s="1972"/>
      <c r="G20" s="1972"/>
      <c r="H20" s="1972"/>
      <c r="I20" s="1972"/>
      <c r="AA20" s="1946" t="str">
        <f>Paramètres!AQ17</f>
        <v>Lupin</v>
      </c>
      <c r="AB20" s="1821" t="str">
        <f>Paramètres!AR17</f>
        <v>Q</v>
      </c>
      <c r="AC20" s="1948">
        <f>Paramètres!AV17</f>
        <v>6.5</v>
      </c>
      <c r="AD20" s="1948">
        <f>Paramètres!AW17</f>
        <v>0.8</v>
      </c>
      <c r="AE20" s="1948">
        <f>Paramètres!AX17</f>
        <v>1.2</v>
      </c>
      <c r="AF20" s="1821">
        <f>AC20*Saisie_Bilan!$C20</f>
        <v>0</v>
      </c>
      <c r="AG20" s="1821">
        <f>AD20*Saisie_Bilan!$C20</f>
        <v>0</v>
      </c>
      <c r="AH20" s="1821">
        <f>AE20*Saisie_Bilan!$C20</f>
        <v>0</v>
      </c>
    </row>
    <row r="21" spans="1:34" x14ac:dyDescent="0.2">
      <c r="A21" s="1944"/>
      <c r="B21" s="1944" t="str">
        <f>Saisie_Bilan!AA21</f>
        <v>Pois, féverole, haricot</v>
      </c>
      <c r="C21" s="1987"/>
      <c r="D21" s="1971" t="str">
        <f>VLOOKUP(Saisie_Bilan!AB21,Saisie_Bilan!$AB$6:$AC$8,2,FALSE)</f>
        <v>Quintaux</v>
      </c>
      <c r="E21" s="1972"/>
      <c r="F21" s="1972"/>
      <c r="G21" s="1972"/>
      <c r="H21" s="1972"/>
      <c r="I21" s="1972"/>
      <c r="AA21" s="1946" t="str">
        <f>Paramètres!AQ18</f>
        <v>Pois, féverole, haricot</v>
      </c>
      <c r="AB21" s="1821" t="str">
        <f>Paramètres!AR18</f>
        <v>Q</v>
      </c>
      <c r="AC21" s="1948">
        <f>Paramètres!AV18</f>
        <v>4</v>
      </c>
      <c r="AD21" s="1948">
        <f>Paramètres!AW18</f>
        <v>1.5</v>
      </c>
      <c r="AE21" s="1948">
        <f>Paramètres!AX18</f>
        <v>3</v>
      </c>
      <c r="AF21" s="1821">
        <f>AC21*Saisie_Bilan!$C21</f>
        <v>0</v>
      </c>
      <c r="AG21" s="1821">
        <f>AD21*Saisie_Bilan!$C21</f>
        <v>0</v>
      </c>
      <c r="AH21" s="1821">
        <f>AE21*Saisie_Bilan!$C21</f>
        <v>0</v>
      </c>
    </row>
    <row r="22" spans="1:34" x14ac:dyDescent="0.2">
      <c r="A22" s="1944"/>
      <c r="B22" s="1944" t="str">
        <f>Saisie_Bilan!AA22</f>
        <v>Luzerne</v>
      </c>
      <c r="C22" s="1987"/>
      <c r="D22" s="1971" t="str">
        <f>VLOOKUP(Saisie_Bilan!AB22,Saisie_Bilan!$AB$6:$AC$8,2,FALSE)</f>
        <v>Tonnes Matières Sèches</v>
      </c>
      <c r="E22" s="1972"/>
      <c r="F22" s="1972"/>
      <c r="G22" s="1972"/>
      <c r="H22" s="1972"/>
      <c r="I22" s="1972"/>
      <c r="AA22" s="1946" t="str">
        <f>Paramètres!AQ19</f>
        <v>Luzerne</v>
      </c>
      <c r="AB22" s="1821" t="str">
        <f>Paramètres!AR19</f>
        <v>TS</v>
      </c>
      <c r="AC22" s="1948">
        <f>Paramètres!AV19</f>
        <v>32</v>
      </c>
      <c r="AD22" s="1948">
        <f>Paramètres!AW19</f>
        <v>7</v>
      </c>
      <c r="AE22" s="1948">
        <f>Paramètres!AX19</f>
        <v>32</v>
      </c>
      <c r="AF22" s="1821">
        <f>AC22*Saisie_Bilan!$C22</f>
        <v>0</v>
      </c>
      <c r="AG22" s="1821">
        <f>AD22*Saisie_Bilan!$C22</f>
        <v>0</v>
      </c>
      <c r="AH22" s="1821">
        <f>AE22*Saisie_Bilan!$C22</f>
        <v>0</v>
      </c>
    </row>
    <row r="23" spans="1:34" x14ac:dyDescent="0.2">
      <c r="A23" s="1944"/>
      <c r="B23" s="1944" t="str">
        <f>Saisie_Bilan!AA23</f>
        <v>Trèfle violet</v>
      </c>
      <c r="C23" s="1987"/>
      <c r="D23" s="1971" t="str">
        <f>VLOOKUP(Saisie_Bilan!AB23,Saisie_Bilan!$AB$6:$AC$8,2,FALSE)</f>
        <v>Tonnes Matières Sèches</v>
      </c>
      <c r="E23" s="1972"/>
      <c r="F23" s="1972"/>
      <c r="G23" s="1972"/>
      <c r="H23" s="1972"/>
      <c r="I23" s="1972"/>
      <c r="AA23" s="1946" t="str">
        <f>Paramètres!AQ20</f>
        <v>Trèfle violet</v>
      </c>
      <c r="AB23" s="1821" t="str">
        <f>Paramètres!AR20</f>
        <v>TS</v>
      </c>
      <c r="AC23" s="1948">
        <f>Paramètres!AV20</f>
        <v>28</v>
      </c>
      <c r="AD23" s="1948">
        <f>Paramètres!AW20</f>
        <v>6.5</v>
      </c>
      <c r="AE23" s="1948">
        <f>Paramètres!AX20</f>
        <v>30</v>
      </c>
      <c r="AF23" s="1821">
        <f>AC23*Saisie_Bilan!$C23</f>
        <v>0</v>
      </c>
      <c r="AG23" s="1821">
        <f>AD23*Saisie_Bilan!$C23</f>
        <v>0</v>
      </c>
      <c r="AH23" s="1821">
        <f>AE23*Saisie_Bilan!$C23</f>
        <v>0</v>
      </c>
    </row>
    <row r="24" spans="1:34" x14ac:dyDescent="0.2">
      <c r="A24" s="1944"/>
      <c r="B24" s="1944" t="str">
        <f>Saisie_Bilan!AA24</f>
        <v>Betteraves sucrières</v>
      </c>
      <c r="C24" s="1987"/>
      <c r="D24" s="1971" t="str">
        <f>VLOOKUP(Saisie_Bilan!AB24,Saisie_Bilan!$AB$6:$AC$8,2,FALSE)</f>
        <v>Tonnes Matières Vertes</v>
      </c>
      <c r="E24" s="1972"/>
      <c r="F24" s="1972"/>
      <c r="G24" s="1972"/>
      <c r="H24" s="1972"/>
      <c r="I24" s="1972"/>
      <c r="AA24" s="1946" t="str">
        <f>Paramètres!AQ21</f>
        <v>Betteraves sucrières</v>
      </c>
      <c r="AB24" s="1821" t="str">
        <f>Paramètres!AR21</f>
        <v>TF</v>
      </c>
      <c r="AC24" s="1948">
        <f>Paramètres!AV21</f>
        <v>1.5</v>
      </c>
      <c r="AD24" s="1948">
        <f>Paramètres!AW21</f>
        <v>0.85</v>
      </c>
      <c r="AE24" s="1948">
        <f>Paramètres!AX21</f>
        <v>2</v>
      </c>
      <c r="AF24" s="1821">
        <f>AC24*Saisie_Bilan!$C24</f>
        <v>0</v>
      </c>
      <c r="AG24" s="1821">
        <f>AD24*Saisie_Bilan!$C24</f>
        <v>0</v>
      </c>
      <c r="AH24" s="1821">
        <f>AE24*Saisie_Bilan!$C24</f>
        <v>0</v>
      </c>
    </row>
    <row r="25" spans="1:34" x14ac:dyDescent="0.2">
      <c r="A25" s="1944"/>
      <c r="B25" s="1944" t="str">
        <f>Saisie_Bilan!AA25</f>
        <v>Betteraves fourragères</v>
      </c>
      <c r="C25" s="1987"/>
      <c r="D25" s="1971" t="str">
        <f>VLOOKUP(Saisie_Bilan!AB25,Saisie_Bilan!$AB$6:$AC$8,2,FALSE)</f>
        <v>Tonnes Matières Vertes</v>
      </c>
      <c r="E25" s="1972"/>
      <c r="F25" s="1972"/>
      <c r="G25" s="1972"/>
      <c r="H25" s="1972"/>
      <c r="I25" s="1972"/>
      <c r="AA25" s="1946" t="str">
        <f>Paramètres!AQ22</f>
        <v>Betteraves fourragères</v>
      </c>
      <c r="AB25" s="1821" t="str">
        <f>Paramètres!AR22</f>
        <v>TF</v>
      </c>
      <c r="AC25" s="1948">
        <f>Paramètres!AV22</f>
        <v>2</v>
      </c>
      <c r="AD25" s="1948">
        <f>Paramètres!AW22</f>
        <v>0.8</v>
      </c>
      <c r="AE25" s="1948">
        <f>Paramètres!AX22</f>
        <v>3</v>
      </c>
      <c r="AF25" s="1821">
        <f>AC25*Saisie_Bilan!$C25</f>
        <v>0</v>
      </c>
      <c r="AG25" s="1821">
        <f>AD25*Saisie_Bilan!$C25</f>
        <v>0</v>
      </c>
      <c r="AH25" s="1821">
        <f>AE25*Saisie_Bilan!$C25</f>
        <v>0</v>
      </c>
    </row>
    <row r="26" spans="1:34" x14ac:dyDescent="0.2">
      <c r="A26" s="1944"/>
      <c r="B26" s="1944" t="str">
        <f>Saisie_Bilan!AA26</f>
        <v>Crucifères fourragères</v>
      </c>
      <c r="C26" s="1987"/>
      <c r="D26" s="1971" t="str">
        <f>VLOOKUP(Saisie_Bilan!AB26,Saisie_Bilan!$AB$6:$AC$8,2,FALSE)</f>
        <v>Tonnes Matières Sèches</v>
      </c>
      <c r="E26" s="1972"/>
      <c r="F26" s="1972"/>
      <c r="G26" s="1972"/>
      <c r="H26" s="1972"/>
      <c r="I26" s="1972"/>
      <c r="AA26" s="1946" t="str">
        <f>Paramètres!AQ23</f>
        <v>Crucifères fourragères</v>
      </c>
      <c r="AB26" s="1821" t="str">
        <f>Paramètres!AR23</f>
        <v>TS</v>
      </c>
      <c r="AC26" s="1948">
        <f>Paramètres!AV23</f>
        <v>26</v>
      </c>
      <c r="AD26" s="1948">
        <f>Paramètres!AW23</f>
        <v>7</v>
      </c>
      <c r="AE26" s="1948">
        <f>Paramètres!AX23</f>
        <v>35</v>
      </c>
      <c r="AF26" s="1821">
        <f>AC26*Saisie_Bilan!$C26</f>
        <v>0</v>
      </c>
      <c r="AG26" s="1821">
        <f>AD26*Saisie_Bilan!$C26</f>
        <v>0</v>
      </c>
      <c r="AH26" s="1821">
        <f>AE26*Saisie_Bilan!$C26</f>
        <v>0</v>
      </c>
    </row>
    <row r="27" spans="1:34" x14ac:dyDescent="0.2">
      <c r="A27" s="1944"/>
      <c r="B27" s="1944" t="str">
        <f>Saisie_Bilan!AA27</f>
        <v>Lin graine</v>
      </c>
      <c r="C27" s="1987"/>
      <c r="D27" s="1971" t="str">
        <f>VLOOKUP(Saisie_Bilan!AB27,Saisie_Bilan!$AB$6:$AC$8,2,FALSE)</f>
        <v>Quintaux</v>
      </c>
      <c r="E27" s="1972"/>
      <c r="F27" s="1972"/>
      <c r="G27" s="1972"/>
      <c r="H27" s="1972"/>
      <c r="I27" s="1972"/>
      <c r="AA27" s="1946" t="str">
        <f>Paramètres!AQ24</f>
        <v>Lin graine</v>
      </c>
      <c r="AB27" s="1821" t="str">
        <f>Paramètres!AR24</f>
        <v>Q</v>
      </c>
      <c r="AC27" s="1948">
        <f>Paramètres!AV24</f>
        <v>4</v>
      </c>
      <c r="AD27" s="1948">
        <f>Paramètres!AW24</f>
        <v>1.7</v>
      </c>
      <c r="AE27" s="1948">
        <f>Paramètres!AX24</f>
        <v>1.5</v>
      </c>
      <c r="AF27" s="1821">
        <f>AC27*Saisie_Bilan!$C27</f>
        <v>0</v>
      </c>
      <c r="AG27" s="1821">
        <f>AD27*Saisie_Bilan!$C27</f>
        <v>0</v>
      </c>
      <c r="AH27" s="1821">
        <f>AE27*Saisie_Bilan!$C27</f>
        <v>0</v>
      </c>
    </row>
    <row r="28" spans="1:34" x14ac:dyDescent="0.2">
      <c r="A28" s="1944"/>
      <c r="B28" s="1944" t="str">
        <f>Saisie_Bilan!AA28</f>
        <v>Lin fibre</v>
      </c>
      <c r="C28" s="1987"/>
      <c r="D28" s="1971" t="str">
        <f>VLOOKUP(Saisie_Bilan!AB28,Saisie_Bilan!$AB$6:$AC$8,2,FALSE)</f>
        <v>Tonnes Matières Sèches</v>
      </c>
      <c r="E28" s="1972"/>
      <c r="F28" s="1972"/>
      <c r="G28" s="1972"/>
      <c r="H28" s="1972"/>
      <c r="I28" s="1972"/>
      <c r="AA28" s="1946" t="str">
        <f>Paramètres!AQ25</f>
        <v>Lin fibre</v>
      </c>
      <c r="AB28" s="1821" t="str">
        <f>Paramètres!AR25</f>
        <v>TS</v>
      </c>
      <c r="AC28" s="1948">
        <f>Paramètres!AV25</f>
        <v>5.6</v>
      </c>
      <c r="AD28" s="1948">
        <f>Paramètres!AW25</f>
        <v>2</v>
      </c>
      <c r="AE28" s="1948">
        <f>Paramètres!AX25</f>
        <v>7</v>
      </c>
      <c r="AF28" s="1821">
        <f>AC28*Saisie_Bilan!$C28</f>
        <v>0</v>
      </c>
      <c r="AG28" s="1821">
        <f>AD28*Saisie_Bilan!$C28</f>
        <v>0</v>
      </c>
      <c r="AH28" s="1821">
        <f>AE28*Saisie_Bilan!$C28</f>
        <v>0</v>
      </c>
    </row>
    <row r="29" spans="1:34" x14ac:dyDescent="0.2">
      <c r="A29" s="1944"/>
      <c r="B29" s="1944" t="str">
        <f>Saisie_Bilan!AA29</f>
        <v>Chanvre</v>
      </c>
      <c r="C29" s="1987"/>
      <c r="D29" s="1971" t="str">
        <f>VLOOKUP(Saisie_Bilan!AB29,Saisie_Bilan!$AB$6:$AC$8,2,FALSE)</f>
        <v>Tonnes Matières Sèches</v>
      </c>
      <c r="E29" s="1972"/>
      <c r="F29" s="1972"/>
      <c r="G29" s="1972"/>
      <c r="H29" s="1972"/>
      <c r="I29" s="1972"/>
      <c r="AA29" s="1946" t="str">
        <f>Paramètres!AQ26</f>
        <v>Chanvre</v>
      </c>
      <c r="AB29" s="1821" t="str">
        <f>Paramètres!AR26</f>
        <v>TS</v>
      </c>
      <c r="AC29" s="1948">
        <f>Paramètres!AV26</f>
        <v>15</v>
      </c>
      <c r="AD29" s="1948">
        <f>Paramètres!AW26</f>
        <v>7</v>
      </c>
      <c r="AE29" s="1948">
        <f>Paramètres!AX26</f>
        <v>15</v>
      </c>
      <c r="AF29" s="1821">
        <f>AC29*Saisie_Bilan!$C29</f>
        <v>0</v>
      </c>
      <c r="AG29" s="1821">
        <f>AD29*Saisie_Bilan!$C29</f>
        <v>0</v>
      </c>
      <c r="AH29" s="1821">
        <f>AE29*Saisie_Bilan!$C29</f>
        <v>0</v>
      </c>
    </row>
    <row r="30" spans="1:34" x14ac:dyDescent="0.2">
      <c r="A30" s="1944"/>
      <c r="B30" s="1944" t="str">
        <f>Saisie_Bilan!AA30</f>
        <v>Choux fleurs récolte automne</v>
      </c>
      <c r="C30" s="1987"/>
      <c r="D30" s="1971" t="str">
        <f>VLOOKUP(Saisie_Bilan!AB30,Saisie_Bilan!$AB$6:$AC$8,2,FALSE)</f>
        <v>Tonnes Matières Vertes</v>
      </c>
      <c r="E30" s="1972"/>
      <c r="F30" s="1972"/>
      <c r="G30" s="1972"/>
      <c r="H30" s="1972"/>
      <c r="I30" s="1972"/>
      <c r="AA30" s="1946" t="str">
        <f>Paramètres!AQ27</f>
        <v>Choux fleurs récolte automne</v>
      </c>
      <c r="AB30" s="1821" t="str">
        <f>Paramètres!AR27</f>
        <v>TF</v>
      </c>
      <c r="AC30" s="1948">
        <f>Paramètres!AV27</f>
        <v>4.3</v>
      </c>
      <c r="AD30" s="1948">
        <f>Paramètres!AW27</f>
        <v>1.2</v>
      </c>
      <c r="AE30" s="1948">
        <f>Paramètres!AX27</f>
        <v>3.6</v>
      </c>
      <c r="AF30" s="1821">
        <f>AC30*Saisie_Bilan!$C30</f>
        <v>0</v>
      </c>
      <c r="AG30" s="1821">
        <f>AD30*Saisie_Bilan!$C30</f>
        <v>0</v>
      </c>
      <c r="AH30" s="1821">
        <f>AE30*Saisie_Bilan!$C30</f>
        <v>0</v>
      </c>
    </row>
    <row r="31" spans="1:34" x14ac:dyDescent="0.2">
      <c r="A31" s="1944"/>
      <c r="B31" s="1944" t="str">
        <f>Saisie_Bilan!AA31</f>
        <v>Choux fleurs récolte fin hiver</v>
      </c>
      <c r="C31" s="1987"/>
      <c r="D31" s="1971" t="str">
        <f>VLOOKUP(Saisie_Bilan!AB31,Saisie_Bilan!$AB$6:$AC$8,2,FALSE)</f>
        <v>Tonnes Matières Vertes</v>
      </c>
      <c r="E31" s="1972"/>
      <c r="F31" s="1972"/>
      <c r="G31" s="1972"/>
      <c r="H31" s="1972"/>
      <c r="I31" s="1972"/>
      <c r="AA31" s="1946" t="str">
        <f>Paramètres!AQ28</f>
        <v>Choux fleurs récolte fin hiver</v>
      </c>
      <c r="AB31" s="1821" t="str">
        <f>Paramètres!AR28</f>
        <v>TF</v>
      </c>
      <c r="AC31" s="1948">
        <f>Paramètres!AV28</f>
        <v>2.5</v>
      </c>
      <c r="AD31" s="1948">
        <f>Paramètres!AW28</f>
        <v>1.3</v>
      </c>
      <c r="AE31" s="1948">
        <f>Paramètres!AX28</f>
        <v>4.0999999999999996</v>
      </c>
      <c r="AF31" s="1821">
        <f>AC31*Saisie_Bilan!$C31</f>
        <v>0</v>
      </c>
      <c r="AG31" s="1821">
        <f>AD31*Saisie_Bilan!$C31</f>
        <v>0</v>
      </c>
      <c r="AH31" s="1821">
        <f>AE31*Saisie_Bilan!$C31</f>
        <v>0</v>
      </c>
    </row>
    <row r="32" spans="1:34" x14ac:dyDescent="0.2">
      <c r="A32" s="1944"/>
      <c r="B32" s="1944" t="str">
        <f>Saisie_Bilan!AA32</f>
        <v>Haricot vert conserve</v>
      </c>
      <c r="C32" s="1987"/>
      <c r="D32" s="1971" t="str">
        <f>VLOOKUP(Saisie_Bilan!AB32,Saisie_Bilan!$AB$6:$AC$8,2,FALSE)</f>
        <v>Tonnes Matières Vertes</v>
      </c>
      <c r="E32" s="1972"/>
      <c r="F32" s="1972"/>
      <c r="G32" s="1972"/>
      <c r="H32" s="1972"/>
      <c r="I32" s="1972"/>
      <c r="AA32" s="1946" t="str">
        <f>Paramètres!AQ29</f>
        <v>Haricot vert conserve</v>
      </c>
      <c r="AB32" s="1821" t="str">
        <f>Paramètres!AR29</f>
        <v>TF</v>
      </c>
      <c r="AC32" s="1948">
        <f>Paramètres!AV29</f>
        <v>3.4</v>
      </c>
      <c r="AD32" s="1948">
        <f>Paramètres!AW29</f>
        <v>1</v>
      </c>
      <c r="AE32" s="1948">
        <f>Paramètres!AX29</f>
        <v>3.5</v>
      </c>
      <c r="AF32" s="1821">
        <f>AC32*Saisie_Bilan!$C32</f>
        <v>0</v>
      </c>
      <c r="AG32" s="1821">
        <f>AD32*Saisie_Bilan!$C32</f>
        <v>0</v>
      </c>
      <c r="AH32" s="1821">
        <f>AE32*Saisie_Bilan!$C32</f>
        <v>0</v>
      </c>
    </row>
    <row r="33" spans="1:44" x14ac:dyDescent="0.2">
      <c r="A33" s="1944"/>
      <c r="B33" s="1944" t="str">
        <f>Saisie_Bilan!AA33</f>
        <v>Pois de conserve</v>
      </c>
      <c r="C33" s="1987"/>
      <c r="D33" s="1971" t="str">
        <f>VLOOKUP(Saisie_Bilan!AB33,Saisie_Bilan!$AB$6:$AC$8,2,FALSE)</f>
        <v>Tonnes Matières Vertes</v>
      </c>
      <c r="E33" s="1972"/>
      <c r="F33" s="1972"/>
      <c r="G33" s="1972"/>
      <c r="H33" s="1972"/>
      <c r="I33" s="1972"/>
      <c r="AA33" s="1946" t="str">
        <f>Paramètres!AQ30</f>
        <v>Pois de conserve</v>
      </c>
      <c r="AB33" s="1821" t="str">
        <f>Paramètres!AR30</f>
        <v>TF</v>
      </c>
      <c r="AC33" s="1948">
        <f>Paramètres!AV30</f>
        <v>5</v>
      </c>
      <c r="AD33" s="1948">
        <f>Paramètres!AW30</f>
        <v>1</v>
      </c>
      <c r="AE33" s="1948">
        <f>Paramètres!AX30</f>
        <v>3.5</v>
      </c>
      <c r="AF33" s="1821">
        <f>AC33*Saisie_Bilan!$C33</f>
        <v>0</v>
      </c>
      <c r="AG33" s="1821">
        <f>AD33*Saisie_Bilan!$C33</f>
        <v>0</v>
      </c>
      <c r="AH33" s="1821">
        <f>AE33*Saisie_Bilan!$C33</f>
        <v>0</v>
      </c>
    </row>
    <row r="34" spans="1:44" x14ac:dyDescent="0.2">
      <c r="A34" s="1944"/>
      <c r="B34" s="1944" t="str">
        <f>Saisie_Bilan!AA34</f>
        <v>Pomme de terre de plein champ</v>
      </c>
      <c r="C34" s="1987"/>
      <c r="D34" s="1971" t="str">
        <f>VLOOKUP(Saisie_Bilan!AB34,Saisie_Bilan!$AB$6:$AC$8,2,FALSE)</f>
        <v>Tonnes Matières Vertes</v>
      </c>
      <c r="E34" s="1972"/>
      <c r="F34" s="1972"/>
      <c r="G34" s="1972"/>
      <c r="H34" s="1972"/>
      <c r="I34" s="1972"/>
      <c r="AA34" s="1946" t="str">
        <f>Paramètres!AQ31</f>
        <v>Pomme de terre de plein champ</v>
      </c>
      <c r="AB34" s="1821" t="str">
        <f>Paramètres!AR31</f>
        <v>TF</v>
      </c>
      <c r="AC34" s="1948">
        <f>Paramètres!AV31</f>
        <v>3.5</v>
      </c>
      <c r="AD34" s="1948">
        <f>Paramètres!AW31</f>
        <v>1</v>
      </c>
      <c r="AE34" s="1948">
        <f>Paramètres!AX31</f>
        <v>3.9</v>
      </c>
      <c r="AF34" s="1821">
        <f>AC34*Saisie_Bilan!$C34</f>
        <v>0</v>
      </c>
      <c r="AG34" s="1821">
        <f>AD34*Saisie_Bilan!$C34</f>
        <v>0</v>
      </c>
      <c r="AH34" s="1821">
        <f>AE34*Saisie_Bilan!$C34</f>
        <v>0</v>
      </c>
    </row>
    <row r="35" spans="1:44" x14ac:dyDescent="0.2">
      <c r="A35" s="1944"/>
      <c r="B35" s="1944" t="str">
        <f>Saisie_Bilan!AA35</f>
        <v>Pomme de terre fécule</v>
      </c>
      <c r="C35" s="1987"/>
      <c r="D35" s="1971" t="str">
        <f>VLOOKUP(Saisie_Bilan!AB35,Saisie_Bilan!$AB$6:$AC$8,2,FALSE)</f>
        <v>Tonnes Matières Vertes</v>
      </c>
      <c r="E35" s="1972"/>
      <c r="F35" s="1972"/>
      <c r="G35" s="1972"/>
      <c r="H35" s="1972"/>
      <c r="I35" s="1972"/>
      <c r="AA35" s="1946" t="str">
        <f>Paramètres!AQ32</f>
        <v>Pomme de terre fécule</v>
      </c>
      <c r="AB35" s="1821" t="str">
        <f>Paramètres!AR32</f>
        <v>TF</v>
      </c>
      <c r="AC35" s="1948">
        <f>Paramètres!AV32</f>
        <v>3.5</v>
      </c>
      <c r="AD35" s="1948">
        <f>Paramètres!AW32</f>
        <v>1.2</v>
      </c>
      <c r="AE35" s="1948">
        <f>Paramètres!AX32</f>
        <v>5.0999999999999996</v>
      </c>
      <c r="AF35" s="1821">
        <f>AC35*Saisie_Bilan!$C35</f>
        <v>0</v>
      </c>
      <c r="AG35" s="1821">
        <f>AD35*Saisie_Bilan!$C35</f>
        <v>0</v>
      </c>
      <c r="AH35" s="1821">
        <f>AE35*Saisie_Bilan!$C35</f>
        <v>0</v>
      </c>
    </row>
    <row r="36" spans="1:44" x14ac:dyDescent="0.2">
      <c r="A36" s="1944"/>
      <c r="B36" s="1944"/>
      <c r="C36" s="1944"/>
      <c r="D36" s="1944"/>
      <c r="E36" s="1944"/>
      <c r="F36" s="1944"/>
      <c r="G36" s="1944"/>
      <c r="H36" s="1944"/>
      <c r="I36" s="1944"/>
    </row>
    <row r="37" spans="1:44" ht="15" x14ac:dyDescent="0.25">
      <c r="A37" s="1974" t="s">
        <v>1916</v>
      </c>
      <c r="B37" s="1944"/>
      <c r="C37" s="1944"/>
      <c r="D37" s="1944"/>
      <c r="E37" s="1944"/>
      <c r="F37" s="1944"/>
      <c r="G37" s="1944"/>
      <c r="H37" s="1944"/>
      <c r="I37" s="1944"/>
    </row>
    <row r="38" spans="1:44" x14ac:dyDescent="0.2">
      <c r="A38" s="1944"/>
      <c r="B38" s="1944"/>
      <c r="C38" s="1944"/>
      <c r="D38" s="1944"/>
      <c r="E38" s="1944"/>
      <c r="F38" s="1944"/>
      <c r="G38" s="1944"/>
      <c r="H38" s="1944"/>
      <c r="I38" s="1944"/>
    </row>
    <row r="39" spans="1:44" x14ac:dyDescent="0.2">
      <c r="A39" s="1944"/>
      <c r="B39" s="1956" t="s">
        <v>873</v>
      </c>
      <c r="C39" s="1945" t="s">
        <v>1823</v>
      </c>
      <c r="D39" s="1975"/>
      <c r="E39" s="1943">
        <v>27</v>
      </c>
      <c r="F39" s="1944" t="s">
        <v>105</v>
      </c>
      <c r="G39" s="1944"/>
      <c r="H39" s="1944"/>
      <c r="I39" s="1944"/>
    </row>
    <row r="40" spans="1:44" x14ac:dyDescent="0.2">
      <c r="A40" s="1944"/>
      <c r="B40" s="1944"/>
      <c r="C40" s="1944"/>
      <c r="D40" s="1944"/>
      <c r="E40" s="1944"/>
      <c r="F40" s="1944"/>
      <c r="G40" s="1944"/>
      <c r="H40" s="1944"/>
      <c r="I40" s="1944"/>
      <c r="AO40" s="1520" t="s">
        <v>2339</v>
      </c>
      <c r="AP40" s="1949" t="s">
        <v>625</v>
      </c>
      <c r="AQ40" s="1949" t="s">
        <v>187</v>
      </c>
      <c r="AR40" s="1949" t="s">
        <v>665</v>
      </c>
    </row>
    <row r="41" spans="1:44" x14ac:dyDescent="0.2">
      <c r="A41" s="1944"/>
      <c r="B41" s="1956" t="s">
        <v>2337</v>
      </c>
      <c r="C41" s="1944"/>
      <c r="D41" s="1944"/>
      <c r="E41" s="1943">
        <v>10</v>
      </c>
      <c r="F41" s="1957" t="s">
        <v>2338</v>
      </c>
      <c r="G41" s="1944"/>
      <c r="H41" s="1944"/>
      <c r="I41" s="1944"/>
      <c r="AP41" s="1337">
        <f>SB_20*Achats!AI15</f>
        <v>56</v>
      </c>
      <c r="AQ41" s="1337">
        <f>SB_20*Achats!AJ15</f>
        <v>23</v>
      </c>
      <c r="AR41" s="1337">
        <f>SB_20*Achats!AK15</f>
        <v>130</v>
      </c>
    </row>
    <row r="42" spans="1:44" x14ac:dyDescent="0.2">
      <c r="A42" s="1944"/>
      <c r="B42" s="1944"/>
      <c r="C42" s="1944"/>
      <c r="D42" s="1944"/>
      <c r="E42" s="1944"/>
      <c r="F42" s="1944"/>
      <c r="G42" s="1944"/>
      <c r="H42" s="1944"/>
      <c r="I42" s="1944"/>
    </row>
    <row r="43" spans="1:44" x14ac:dyDescent="0.2">
      <c r="A43" s="1944"/>
      <c r="B43" s="1956" t="s">
        <v>1914</v>
      </c>
      <c r="C43" s="1944"/>
      <c r="D43" s="1944"/>
      <c r="E43" s="1981" t="s">
        <v>1943</v>
      </c>
      <c r="F43" s="1982"/>
      <c r="G43" s="1981" t="s">
        <v>1944</v>
      </c>
      <c r="H43" s="1982"/>
      <c r="I43" s="1944"/>
    </row>
    <row r="44" spans="1:44" x14ac:dyDescent="0.2">
      <c r="A44" s="1944"/>
      <c r="B44" s="1957" t="s">
        <v>1942</v>
      </c>
      <c r="C44" s="1957" t="s">
        <v>1912</v>
      </c>
      <c r="D44" s="1944"/>
      <c r="E44" s="1987">
        <v>1</v>
      </c>
      <c r="F44" s="1944" t="s">
        <v>801</v>
      </c>
      <c r="G44" s="1987">
        <v>0.5</v>
      </c>
      <c r="H44" s="1944" t="s">
        <v>801</v>
      </c>
      <c r="I44" s="1944"/>
    </row>
    <row r="45" spans="1:44" x14ac:dyDescent="0.2">
      <c r="A45" s="1944"/>
      <c r="B45" s="1944"/>
      <c r="C45" s="1957" t="s">
        <v>1913</v>
      </c>
      <c r="D45" s="1944"/>
      <c r="E45" s="1943">
        <v>24</v>
      </c>
      <c r="F45" s="1957" t="s">
        <v>105</v>
      </c>
      <c r="G45" s="1943">
        <v>22</v>
      </c>
      <c r="H45" s="1957" t="s">
        <v>105</v>
      </c>
      <c r="I45" s="1957"/>
      <c r="AA45" s="1337"/>
      <c r="AB45" s="3152" t="s">
        <v>1894</v>
      </c>
      <c r="AC45" s="3152"/>
      <c r="AD45" s="3152"/>
      <c r="AE45" s="3152" t="s">
        <v>1835</v>
      </c>
      <c r="AF45" s="3152"/>
      <c r="AG45" s="3152"/>
      <c r="AH45" s="1949" t="s">
        <v>105</v>
      </c>
      <c r="AI45" s="1949" t="s">
        <v>1946</v>
      </c>
      <c r="AJ45" s="1949" t="s">
        <v>1946</v>
      </c>
    </row>
    <row r="46" spans="1:44" x14ac:dyDescent="0.2">
      <c r="A46" s="1944"/>
      <c r="B46" s="1956"/>
      <c r="C46" s="1944"/>
      <c r="D46" s="1944"/>
      <c r="E46" s="1944"/>
      <c r="F46" s="1944"/>
      <c r="G46" s="1944"/>
      <c r="H46" s="1944"/>
      <c r="I46" s="1944"/>
      <c r="AA46" s="1337"/>
      <c r="AB46" s="1947" t="s">
        <v>625</v>
      </c>
      <c r="AC46" s="1947" t="s">
        <v>187</v>
      </c>
      <c r="AD46" s="1947" t="s">
        <v>665</v>
      </c>
      <c r="AE46" s="1947" t="s">
        <v>625</v>
      </c>
      <c r="AF46" s="1947" t="s">
        <v>187</v>
      </c>
      <c r="AG46" s="1947" t="s">
        <v>665</v>
      </c>
      <c r="AH46" s="1949" t="s">
        <v>1945</v>
      </c>
      <c r="AI46" s="1949" t="s">
        <v>187</v>
      </c>
      <c r="AJ46" s="1949" t="s">
        <v>665</v>
      </c>
      <c r="AP46" s="1949" t="s">
        <v>625</v>
      </c>
      <c r="AQ46" s="1949" t="s">
        <v>187</v>
      </c>
      <c r="AR46" s="1949" t="s">
        <v>665</v>
      </c>
    </row>
    <row r="47" spans="1:44" x14ac:dyDescent="0.2">
      <c r="A47" s="1944"/>
      <c r="B47" s="1957" t="s">
        <v>1824</v>
      </c>
      <c r="C47" s="1958" t="s">
        <v>1825</v>
      </c>
      <c r="D47" s="1944"/>
      <c r="E47" s="1987"/>
      <c r="F47" s="1957" t="s">
        <v>801</v>
      </c>
      <c r="G47" s="1957"/>
      <c r="H47" s="1957"/>
      <c r="I47" s="1957"/>
      <c r="AA47" s="1337" t="str">
        <f>Saisie_Bilan!C47</f>
        <v>- Truie mixte</v>
      </c>
      <c r="AB47" s="1526">
        <f>Paramètres!BV5</f>
        <v>26.4</v>
      </c>
      <c r="AC47" s="1526">
        <f>Paramètres!BW5</f>
        <v>13.74</v>
      </c>
      <c r="AD47" s="1526">
        <f>Paramètres!BX5</f>
        <v>10</v>
      </c>
      <c r="AE47" s="1821">
        <f>AB47*Saisie_Bilan!$E47</f>
        <v>0</v>
      </c>
      <c r="AF47" s="1821">
        <f>AC47*Saisie_Bilan!$E47</f>
        <v>0</v>
      </c>
      <c r="AG47" s="1821">
        <f>AD47*Saisie_Bilan!$E47</f>
        <v>0</v>
      </c>
      <c r="AH47" s="1949">
        <v>24</v>
      </c>
      <c r="AI47" s="1949">
        <v>23</v>
      </c>
      <c r="AJ47" s="1949">
        <v>15.5</v>
      </c>
      <c r="AO47" s="1970" t="s">
        <v>1943</v>
      </c>
      <c r="AP47" s="1949">
        <f>10*$E$45*$E$44/6.25</f>
        <v>38.4</v>
      </c>
      <c r="AQ47" s="1949">
        <f>(0.5*$E$45^2-20*$E$45+215)*$E$44</f>
        <v>23</v>
      </c>
      <c r="AR47" s="1949">
        <f>(-0.125*$E$45^2+5.75*$E$45-50.5)*$E$44</f>
        <v>15.5</v>
      </c>
    </row>
    <row r="48" spans="1:44" x14ac:dyDescent="0.2">
      <c r="A48" s="1944"/>
      <c r="B48" s="1944"/>
      <c r="C48" s="1958" t="s">
        <v>1826</v>
      </c>
      <c r="D48" s="1944"/>
      <c r="E48" s="1987"/>
      <c r="F48" s="1957" t="s">
        <v>801</v>
      </c>
      <c r="G48" s="1957"/>
      <c r="H48" s="1957"/>
      <c r="I48" s="1957"/>
      <c r="AA48" s="1337" t="str">
        <f>Saisie_Bilan!C48</f>
        <v>- Truie Gestation</v>
      </c>
      <c r="AB48" s="1526">
        <f>Paramètres!BV6</f>
        <v>22.4</v>
      </c>
      <c r="AC48" s="1526">
        <f>Paramètres!BW6</f>
        <v>11.45</v>
      </c>
      <c r="AD48" s="1526">
        <f>Paramètres!BX6</f>
        <v>12.5</v>
      </c>
      <c r="AE48" s="1821">
        <f>AB48*Saisie_Bilan!$E48</f>
        <v>0</v>
      </c>
      <c r="AF48" s="1821">
        <f>AC48*Saisie_Bilan!$E48</f>
        <v>0</v>
      </c>
      <c r="AG48" s="1821">
        <f>AD48*Saisie_Bilan!$E48</f>
        <v>0</v>
      </c>
      <c r="AH48" s="1949">
        <v>22</v>
      </c>
      <c r="AI48" s="1949">
        <v>17</v>
      </c>
      <c r="AJ48" s="1949">
        <v>15.5</v>
      </c>
      <c r="AO48" s="1337" t="s">
        <v>1944</v>
      </c>
      <c r="AP48" s="1949">
        <f>10*$G$45*$G$44/6.25</f>
        <v>17.600000000000001</v>
      </c>
      <c r="AQ48" s="1949">
        <f>(0.5*$G$45^2-20*$G$45+215)*$G$44</f>
        <v>8.5</v>
      </c>
      <c r="AR48" s="1949">
        <f>(-0.125*$G$45^2+5.75*$G$45-50.5)*$G$44</f>
        <v>7.75</v>
      </c>
    </row>
    <row r="49" spans="1:44" x14ac:dyDescent="0.2">
      <c r="A49" s="1944"/>
      <c r="B49" s="1944"/>
      <c r="C49" s="1958" t="s">
        <v>1827</v>
      </c>
      <c r="D49" s="1944"/>
      <c r="E49" s="1987"/>
      <c r="F49" s="1957" t="s">
        <v>801</v>
      </c>
      <c r="G49" s="1957"/>
      <c r="H49" s="1957"/>
      <c r="I49" s="1957"/>
      <c r="AA49" s="1337" t="str">
        <f>Saisie_Bilan!C49</f>
        <v>- Truie Lactation</v>
      </c>
      <c r="AB49" s="1526">
        <f>Paramètres!BV7</f>
        <v>26.4</v>
      </c>
      <c r="AC49" s="1526">
        <f>Paramètres!BW7</f>
        <v>13.74</v>
      </c>
      <c r="AD49" s="1526">
        <f>Paramètres!BX7</f>
        <v>12.5</v>
      </c>
      <c r="AE49" s="1821">
        <f>AB49*Saisie_Bilan!$E49</f>
        <v>0</v>
      </c>
      <c r="AF49" s="1821">
        <f>AC49*Saisie_Bilan!$E49</f>
        <v>0</v>
      </c>
      <c r="AG49" s="1821">
        <f>AD49*Saisie_Bilan!$E49</f>
        <v>0</v>
      </c>
      <c r="AH49" s="1949">
        <v>20</v>
      </c>
      <c r="AI49" s="1949">
        <v>15</v>
      </c>
      <c r="AJ49" s="1949">
        <v>14.5</v>
      </c>
      <c r="AO49" s="1337" t="s">
        <v>244</v>
      </c>
      <c r="AP49" s="1949">
        <f>AP47+AP48</f>
        <v>56</v>
      </c>
      <c r="AQ49" s="1949">
        <f>AQ47+AQ48</f>
        <v>31.5</v>
      </c>
      <c r="AR49" s="1949">
        <f>AR47+AR48</f>
        <v>23.25</v>
      </c>
    </row>
    <row r="50" spans="1:44" x14ac:dyDescent="0.2">
      <c r="A50" s="1944"/>
      <c r="B50" s="1944"/>
      <c r="C50" s="1958" t="s">
        <v>1828</v>
      </c>
      <c r="D50" s="1944"/>
      <c r="E50" s="1987"/>
      <c r="F50" s="1957" t="s">
        <v>801</v>
      </c>
      <c r="G50" s="1957"/>
      <c r="H50" s="1957"/>
      <c r="I50" s="1957"/>
      <c r="AA50" s="1337" t="str">
        <f>Saisie_Bilan!C50</f>
        <v>- Post-sevrage standard 1er âge</v>
      </c>
      <c r="AB50" s="1526">
        <f>Paramètres!BV8</f>
        <v>33.6</v>
      </c>
      <c r="AC50" s="1526">
        <f>Paramètres!BW8</f>
        <v>15.572000000000003</v>
      </c>
      <c r="AD50" s="1526">
        <f>Paramètres!BX8</f>
        <v>12</v>
      </c>
      <c r="AE50" s="1821">
        <f>AB50*Saisie_Bilan!$E50</f>
        <v>0</v>
      </c>
      <c r="AF50" s="1821">
        <f>AC50*Saisie_Bilan!$E50</f>
        <v>0</v>
      </c>
      <c r="AG50" s="1821">
        <f>AD50*Saisie_Bilan!$E50</f>
        <v>0</v>
      </c>
    </row>
    <row r="51" spans="1:44" x14ac:dyDescent="0.2">
      <c r="A51" s="1944"/>
      <c r="B51" s="1944"/>
      <c r="C51" s="1958" t="s">
        <v>1829</v>
      </c>
      <c r="D51" s="1944"/>
      <c r="E51" s="1987"/>
      <c r="F51" s="1957" t="s">
        <v>801</v>
      </c>
      <c r="G51" s="1957"/>
      <c r="H51" s="1957"/>
      <c r="I51" s="1957"/>
      <c r="AA51" s="1337" t="str">
        <f>Saisie_Bilan!C51</f>
        <v>- Post-sevrage standard 2eme âge</v>
      </c>
      <c r="AB51" s="1526">
        <f>Paramètres!BV9</f>
        <v>30.4</v>
      </c>
      <c r="AC51" s="1526">
        <f>Paramètres!BW9</f>
        <v>13.282</v>
      </c>
      <c r="AD51" s="1526">
        <f>Paramètres!BX9</f>
        <v>8</v>
      </c>
      <c r="AE51" s="1821">
        <f>AB51*Saisie_Bilan!$E51</f>
        <v>0</v>
      </c>
      <c r="AF51" s="1821">
        <f>AC51*Saisie_Bilan!$E51</f>
        <v>0</v>
      </c>
      <c r="AG51" s="1821">
        <f>AD51*Saisie_Bilan!$E51</f>
        <v>0</v>
      </c>
    </row>
    <row r="52" spans="1:44" x14ac:dyDescent="0.2">
      <c r="A52" s="1944"/>
      <c r="B52" s="1944"/>
      <c r="C52" s="1958" t="s">
        <v>1830</v>
      </c>
      <c r="D52" s="1944"/>
      <c r="E52" s="1987"/>
      <c r="F52" s="1957" t="s">
        <v>801</v>
      </c>
      <c r="G52" s="1957"/>
      <c r="H52" s="1957"/>
      <c r="I52" s="1957"/>
      <c r="AA52" s="1337" t="str">
        <f>Saisie_Bilan!C52</f>
        <v>- Post-sevrage biphase 1er âge</v>
      </c>
      <c r="AB52" s="1526">
        <f>Paramètres!BV10</f>
        <v>32</v>
      </c>
      <c r="AC52" s="1526">
        <f>Paramètres!BW10</f>
        <v>15.572000000000003</v>
      </c>
      <c r="AD52" s="1526">
        <f>Paramètres!BX10</f>
        <v>10</v>
      </c>
      <c r="AE52" s="1821">
        <f>AB52*Saisie_Bilan!$E52</f>
        <v>0</v>
      </c>
      <c r="AF52" s="1821">
        <f>AC52*Saisie_Bilan!$E52</f>
        <v>0</v>
      </c>
      <c r="AG52" s="1821">
        <f>AD52*Saisie_Bilan!$E52</f>
        <v>0</v>
      </c>
    </row>
    <row r="53" spans="1:44" x14ac:dyDescent="0.2">
      <c r="A53" s="1944"/>
      <c r="B53" s="1944"/>
      <c r="C53" s="1958" t="s">
        <v>1831</v>
      </c>
      <c r="D53" s="1944"/>
      <c r="E53" s="1987"/>
      <c r="F53" s="1957" t="s">
        <v>801</v>
      </c>
      <c r="G53" s="1957"/>
      <c r="H53" s="1957"/>
      <c r="I53" s="1957"/>
      <c r="AA53" s="1337" t="str">
        <f>Saisie_Bilan!C53</f>
        <v>- Post-sevrage biphase 2eme âge</v>
      </c>
      <c r="AB53" s="1526">
        <f>Paramètres!BV11</f>
        <v>28.8</v>
      </c>
      <c r="AC53" s="1526">
        <f>Paramètres!BW11</f>
        <v>13.282</v>
      </c>
      <c r="AD53" s="1526">
        <f>Paramètres!BX11</f>
        <v>0.77</v>
      </c>
      <c r="AE53" s="1821">
        <f>AB53*Saisie_Bilan!$E53</f>
        <v>0</v>
      </c>
      <c r="AF53" s="1821">
        <f>AC53*Saisie_Bilan!$E53</f>
        <v>0</v>
      </c>
      <c r="AG53" s="1821">
        <f>AD53*Saisie_Bilan!$E53</f>
        <v>0</v>
      </c>
    </row>
    <row r="54" spans="1:44" x14ac:dyDescent="0.2">
      <c r="A54" s="1944"/>
      <c r="B54" s="1944"/>
      <c r="C54" s="1958" t="s">
        <v>1832</v>
      </c>
      <c r="D54" s="1944"/>
      <c r="E54" s="1987"/>
      <c r="F54" s="1957" t="s">
        <v>801</v>
      </c>
      <c r="G54" s="1957"/>
      <c r="H54" s="1957"/>
      <c r="I54" s="1957"/>
      <c r="AA54" s="1337" t="str">
        <f>Saisie_Bilan!C54</f>
        <v>- Engraissement aliment unique</v>
      </c>
      <c r="AB54" s="1526">
        <f>Paramètres!BV12</f>
        <v>28</v>
      </c>
      <c r="AC54" s="1526">
        <f>Paramètres!BW12</f>
        <v>10.991999999999999</v>
      </c>
      <c r="AD54" s="1526">
        <f>Paramètres!BX12</f>
        <v>8</v>
      </c>
      <c r="AE54" s="1821">
        <f>AB54*Saisie_Bilan!$E54</f>
        <v>0</v>
      </c>
      <c r="AF54" s="1821">
        <f>AC54*Saisie_Bilan!$E54</f>
        <v>0</v>
      </c>
      <c r="AG54" s="1821">
        <f>AD54*Saisie_Bilan!$E54</f>
        <v>0</v>
      </c>
    </row>
    <row r="55" spans="1:44" x14ac:dyDescent="0.2">
      <c r="A55" s="1944"/>
      <c r="B55" s="1944"/>
      <c r="C55" s="1958" t="s">
        <v>1833</v>
      </c>
      <c r="D55" s="1944"/>
      <c r="E55" s="1987"/>
      <c r="F55" s="1957" t="s">
        <v>801</v>
      </c>
      <c r="G55" s="1957"/>
      <c r="H55" s="1957"/>
      <c r="I55" s="1957"/>
      <c r="AA55" s="1337" t="str">
        <f>Saisie_Bilan!C55</f>
        <v>- Engraissement croissance (biphase)</v>
      </c>
      <c r="AB55" s="1526">
        <f>Paramètres!BV13</f>
        <v>26.4</v>
      </c>
      <c r="AC55" s="1526">
        <f>Paramètres!BW13</f>
        <v>10.991999999999999</v>
      </c>
      <c r="AD55" s="1526">
        <f>Paramètres!BX13</f>
        <v>6.6</v>
      </c>
      <c r="AE55" s="1821">
        <f>AB55*Saisie_Bilan!$E55</f>
        <v>0</v>
      </c>
      <c r="AF55" s="1821">
        <f>AC55*Saisie_Bilan!$E55</f>
        <v>0</v>
      </c>
      <c r="AG55" s="1821">
        <f>AD55*Saisie_Bilan!$E55</f>
        <v>0</v>
      </c>
    </row>
    <row r="56" spans="1:44" x14ac:dyDescent="0.2">
      <c r="A56" s="1944"/>
      <c r="B56" s="1944"/>
      <c r="C56" s="1958" t="s">
        <v>1834</v>
      </c>
      <c r="D56" s="1944"/>
      <c r="E56" s="1987"/>
      <c r="F56" s="1957" t="s">
        <v>801</v>
      </c>
      <c r="G56" s="1957"/>
      <c r="H56" s="1957"/>
      <c r="I56" s="1957"/>
      <c r="AA56" s="1337" t="str">
        <f>Saisie_Bilan!C56</f>
        <v>- Engraissement finition (biphase)</v>
      </c>
      <c r="AB56" s="1526">
        <f>Paramètres!BV14</f>
        <v>24</v>
      </c>
      <c r="AC56" s="1526">
        <f>Paramètres!BW14</f>
        <v>10.076000000000001</v>
      </c>
      <c r="AD56" s="1526">
        <f>Paramètres!BX14</f>
        <v>7.3</v>
      </c>
      <c r="AE56" s="1821">
        <f>AB56*Saisie_Bilan!$E56</f>
        <v>0</v>
      </c>
      <c r="AF56" s="1821">
        <f>AC56*Saisie_Bilan!$E56</f>
        <v>0</v>
      </c>
      <c r="AG56" s="1821">
        <f>AD56*Saisie_Bilan!$E56</f>
        <v>0</v>
      </c>
    </row>
    <row r="57" spans="1:44" x14ac:dyDescent="0.2">
      <c r="A57" s="1944"/>
      <c r="B57" s="1957"/>
      <c r="C57" s="1944"/>
      <c r="D57" s="1944"/>
      <c r="E57" s="1944"/>
      <c r="F57" s="1944"/>
      <c r="G57" s="1944"/>
      <c r="H57" s="1944"/>
      <c r="I57" s="1944"/>
      <c r="AA57" s="1337"/>
      <c r="AB57" s="3152" t="s">
        <v>1894</v>
      </c>
      <c r="AC57" s="3152"/>
      <c r="AD57" s="3152"/>
      <c r="AE57" s="3152" t="s">
        <v>1835</v>
      </c>
      <c r="AF57" s="3152"/>
      <c r="AG57" s="3152"/>
    </row>
    <row r="58" spans="1:44" x14ac:dyDescent="0.2">
      <c r="A58" s="1944"/>
      <c r="B58" s="1957" t="s">
        <v>442</v>
      </c>
      <c r="C58" s="1944"/>
      <c r="D58" s="1944"/>
      <c r="E58" s="1944"/>
      <c r="F58" s="1944"/>
      <c r="G58" s="1944"/>
      <c r="H58" s="1944"/>
      <c r="I58" s="1944"/>
      <c r="AA58" s="1337"/>
      <c r="AB58" s="1947" t="s">
        <v>625</v>
      </c>
      <c r="AC58" s="1947" t="s">
        <v>187</v>
      </c>
      <c r="AD58" s="1947" t="s">
        <v>665</v>
      </c>
      <c r="AE58" s="1947" t="s">
        <v>625</v>
      </c>
      <c r="AF58" s="1947" t="s">
        <v>187</v>
      </c>
      <c r="AG58" s="1947" t="s">
        <v>665</v>
      </c>
    </row>
    <row r="59" spans="1:44" x14ac:dyDescent="0.2">
      <c r="A59" s="1944"/>
      <c r="B59" s="1957"/>
      <c r="C59" s="1944" t="s">
        <v>1838</v>
      </c>
      <c r="D59" s="1944"/>
      <c r="E59" s="1987"/>
      <c r="F59" s="1957" t="s">
        <v>801</v>
      </c>
      <c r="G59" s="1957"/>
      <c r="H59" s="1957"/>
      <c r="I59" s="1957"/>
      <c r="AA59" s="1337" t="str">
        <f>Saisie_Bilan!C59</f>
        <v>- Poules pondeuses (œufs)</v>
      </c>
      <c r="AB59" s="1526">
        <f>Paramètres!BV17</f>
        <v>26.72</v>
      </c>
      <c r="AC59" s="1526">
        <f>Paramètres!BW17</f>
        <v>11.221000000000002</v>
      </c>
      <c r="AD59" s="1526">
        <f>Paramètres!BX17</f>
        <v>8.76</v>
      </c>
      <c r="AE59" s="1821">
        <f>AB59*Saisie_Bilan!$E59</f>
        <v>0</v>
      </c>
      <c r="AF59" s="1821">
        <f>AC59*Saisie_Bilan!$E59</f>
        <v>0</v>
      </c>
      <c r="AG59" s="1821">
        <f>AD59*Saisie_Bilan!$E59</f>
        <v>0</v>
      </c>
    </row>
    <row r="60" spans="1:44" x14ac:dyDescent="0.2">
      <c r="A60" s="1944"/>
      <c r="B60" s="1944"/>
      <c r="C60" s="1944" t="s">
        <v>1839</v>
      </c>
      <c r="D60" s="1944"/>
      <c r="E60" s="1987"/>
      <c r="F60" s="1957" t="s">
        <v>801</v>
      </c>
      <c r="G60" s="1957"/>
      <c r="H60" s="1957"/>
      <c r="I60" s="1957"/>
      <c r="AA60" s="1337" t="str">
        <f>Saisie_Bilan!C60</f>
        <v>- Poules pondeuses bio (œufs) au sol</v>
      </c>
      <c r="AB60" s="1526">
        <f>Paramètres!BV18</f>
        <v>27.36</v>
      </c>
      <c r="AC60" s="1526">
        <f>Paramètres!BW18</f>
        <v>11.908000000000001</v>
      </c>
      <c r="AD60" s="1526">
        <f>Paramètres!BX18</f>
        <v>9.3600000000000012</v>
      </c>
      <c r="AE60" s="1821">
        <f>AB60*Saisie_Bilan!$E60</f>
        <v>0</v>
      </c>
      <c r="AF60" s="1821">
        <f>AC60*Saisie_Bilan!$E60</f>
        <v>0</v>
      </c>
      <c r="AG60" s="1821">
        <f>AD60*Saisie_Bilan!$E60</f>
        <v>0</v>
      </c>
    </row>
    <row r="61" spans="1:44" x14ac:dyDescent="0.2">
      <c r="A61" s="1944"/>
      <c r="B61" s="1944"/>
      <c r="C61" s="1980" t="s">
        <v>1941</v>
      </c>
      <c r="D61" s="1944"/>
      <c r="E61" s="1987"/>
      <c r="F61" s="1957" t="s">
        <v>801</v>
      </c>
      <c r="G61" s="1957"/>
      <c r="H61" s="1957"/>
      <c r="I61" s="1957"/>
      <c r="AA61" s="1337" t="str">
        <f>Saisie_Bilan!C61</f>
        <v>- Poules reproductrices ponte &amp; chair</v>
      </c>
      <c r="AB61" s="1526">
        <f>Paramètres!BV19</f>
        <v>25.92</v>
      </c>
      <c r="AC61" s="1526">
        <f>Paramètres!BW19</f>
        <v>12.366000000000001</v>
      </c>
      <c r="AD61" s="1526">
        <f>Paramètres!BX19</f>
        <v>8.4</v>
      </c>
      <c r="AE61" s="1821">
        <f>AB61*Saisie_Bilan!$E61</f>
        <v>0</v>
      </c>
      <c r="AF61" s="1821">
        <f>AC61*Saisie_Bilan!$E61</f>
        <v>0</v>
      </c>
      <c r="AG61" s="1821">
        <f>AD61*Saisie_Bilan!$E61</f>
        <v>0</v>
      </c>
    </row>
    <row r="62" spans="1:44" x14ac:dyDescent="0.2">
      <c r="A62" s="1944"/>
      <c r="B62" s="1944"/>
      <c r="C62" s="1944" t="s">
        <v>1840</v>
      </c>
      <c r="D62" s="1944"/>
      <c r="E62" s="1987"/>
      <c r="F62" s="1957" t="s">
        <v>801</v>
      </c>
      <c r="G62" s="1957"/>
      <c r="H62" s="1957"/>
      <c r="I62" s="1957"/>
      <c r="AA62" s="1337" t="str">
        <f>Saisie_Bilan!C62</f>
        <v>- Poules reproductrices label chair</v>
      </c>
      <c r="AB62" s="1526">
        <f>Paramètres!BV20</f>
        <v>26.72</v>
      </c>
      <c r="AC62" s="1526">
        <f>Paramètres!BW20</f>
        <v>12.137000000000002</v>
      </c>
      <c r="AD62" s="1526">
        <f>Paramètres!BX20</f>
        <v>8.0399999999999991</v>
      </c>
      <c r="AE62" s="1821">
        <f>AB62*Saisie_Bilan!$E62</f>
        <v>0</v>
      </c>
      <c r="AF62" s="1821">
        <f>AC62*Saisie_Bilan!$E62</f>
        <v>0</v>
      </c>
      <c r="AG62" s="1821">
        <f>AD62*Saisie_Bilan!$E62</f>
        <v>0</v>
      </c>
    </row>
    <row r="63" spans="1:44" x14ac:dyDescent="0.2">
      <c r="A63" s="1944"/>
      <c r="B63" s="1944"/>
      <c r="C63" s="1944" t="s">
        <v>1841</v>
      </c>
      <c r="D63" s="1944"/>
      <c r="E63" s="1987"/>
      <c r="F63" s="1957" t="s">
        <v>801</v>
      </c>
      <c r="G63" s="1957"/>
      <c r="H63" s="1957"/>
      <c r="I63" s="1957"/>
      <c r="AA63" s="1337" t="str">
        <f>Saisie_Bilan!C63</f>
        <v>- Poulettes élevées</v>
      </c>
      <c r="AB63" s="1526">
        <f>Paramètres!BV21</f>
        <v>27.68</v>
      </c>
      <c r="AC63" s="1526">
        <f>Paramètres!BW21</f>
        <v>12.824000000000002</v>
      </c>
      <c r="AD63" s="1526">
        <f>Paramètres!BX21</f>
        <v>9.6</v>
      </c>
      <c r="AE63" s="1821">
        <f>AB63*Saisie_Bilan!$E63</f>
        <v>0</v>
      </c>
      <c r="AF63" s="1821">
        <f>AC63*Saisie_Bilan!$E63</f>
        <v>0</v>
      </c>
      <c r="AG63" s="1821">
        <f>AD63*Saisie_Bilan!$E63</f>
        <v>0</v>
      </c>
    </row>
    <row r="64" spans="1:44" x14ac:dyDescent="0.2">
      <c r="A64" s="1944"/>
      <c r="B64" s="1944"/>
      <c r="C64" s="1944" t="s">
        <v>1842</v>
      </c>
      <c r="D64" s="1944"/>
      <c r="E64" s="1987"/>
      <c r="F64" s="1957" t="s">
        <v>801</v>
      </c>
      <c r="G64" s="1957"/>
      <c r="H64" s="1957"/>
      <c r="I64" s="1957"/>
      <c r="AA64" s="1337" t="str">
        <f>Saisie_Bilan!C64</f>
        <v>- Poulettes élevées bio</v>
      </c>
      <c r="AB64" s="1526">
        <f>Paramètres!BV22</f>
        <v>27.68</v>
      </c>
      <c r="AC64" s="1526">
        <f>Paramètres!BW22</f>
        <v>12.824000000000002</v>
      </c>
      <c r="AD64" s="1526">
        <f>Paramètres!BX22</f>
        <v>9.6</v>
      </c>
      <c r="AE64" s="1821">
        <f>AB64*Saisie_Bilan!$E64</f>
        <v>0</v>
      </c>
      <c r="AF64" s="1821">
        <f>AC64*Saisie_Bilan!$E64</f>
        <v>0</v>
      </c>
      <c r="AG64" s="1821">
        <f>AD64*Saisie_Bilan!$E64</f>
        <v>0</v>
      </c>
    </row>
    <row r="65" spans="1:33" x14ac:dyDescent="0.2">
      <c r="A65" s="1944"/>
      <c r="B65" s="1944"/>
      <c r="C65" s="1944" t="s">
        <v>1843</v>
      </c>
      <c r="D65" s="1944"/>
      <c r="E65" s="1987"/>
      <c r="F65" s="1957" t="s">
        <v>801</v>
      </c>
      <c r="G65" s="1957"/>
      <c r="H65" s="1957"/>
      <c r="I65" s="1957"/>
      <c r="AA65" s="1337" t="str">
        <f>Saisie_Bilan!C65</f>
        <v>- Poulets légers ou export</v>
      </c>
      <c r="AB65" s="1526">
        <f>Paramètres!BV23</f>
        <v>29.92</v>
      </c>
      <c r="AC65" s="1526">
        <f>Paramètres!BW23</f>
        <v>10.991999999999999</v>
      </c>
      <c r="AD65" s="1526">
        <f>Paramètres!BX23</f>
        <v>9.7200000000000006</v>
      </c>
      <c r="AE65" s="1821">
        <f>AB65*Saisie_Bilan!$E65</f>
        <v>0</v>
      </c>
      <c r="AF65" s="1821">
        <f>AC65*Saisie_Bilan!$E65</f>
        <v>0</v>
      </c>
      <c r="AG65" s="1821">
        <f>AD65*Saisie_Bilan!$E65</f>
        <v>0</v>
      </c>
    </row>
    <row r="66" spans="1:33" x14ac:dyDescent="0.2">
      <c r="A66" s="1944"/>
      <c r="B66" s="1944"/>
      <c r="C66" s="1944" t="s">
        <v>1844</v>
      </c>
      <c r="D66" s="1944"/>
      <c r="E66" s="1987"/>
      <c r="F66" s="1957" t="s">
        <v>801</v>
      </c>
      <c r="G66" s="1957"/>
      <c r="H66" s="1957"/>
      <c r="I66" s="1957"/>
      <c r="AA66" s="1337" t="str">
        <f>Saisie_Bilan!C66</f>
        <v>- Poulets standard</v>
      </c>
      <c r="AB66" s="1526">
        <f>Paramètres!BV24</f>
        <v>29.76</v>
      </c>
      <c r="AC66" s="1526">
        <f>Paramètres!BW24</f>
        <v>11.678999999999998</v>
      </c>
      <c r="AD66" s="1526">
        <f>Paramètres!BX24</f>
        <v>9.3600000000000012</v>
      </c>
      <c r="AE66" s="1821">
        <f>AB66*Saisie_Bilan!$E66</f>
        <v>0</v>
      </c>
      <c r="AF66" s="1821">
        <f>AC66*Saisie_Bilan!$E66</f>
        <v>0</v>
      </c>
      <c r="AG66" s="1821">
        <f>AD66*Saisie_Bilan!$E66</f>
        <v>0</v>
      </c>
    </row>
    <row r="67" spans="1:33" x14ac:dyDescent="0.2">
      <c r="A67" s="1944"/>
      <c r="B67" s="1944"/>
      <c r="C67" s="1944" t="s">
        <v>1845</v>
      </c>
      <c r="D67" s="1944"/>
      <c r="E67" s="1987"/>
      <c r="F67" s="1957" t="s">
        <v>801</v>
      </c>
      <c r="G67" s="1957"/>
      <c r="H67" s="1957"/>
      <c r="I67" s="1957"/>
      <c r="AA67" s="1337" t="str">
        <f>Saisie_Bilan!C67</f>
        <v>- Poulets lourds et poulets certifiés</v>
      </c>
      <c r="AB67" s="1526">
        <f>Paramètres!BV25</f>
        <v>29.28</v>
      </c>
      <c r="AC67" s="1526">
        <f>Paramètres!BW25</f>
        <v>12.366000000000001</v>
      </c>
      <c r="AD67" s="1526">
        <f>Paramètres!BX25</f>
        <v>9.3600000000000012</v>
      </c>
      <c r="AE67" s="1821">
        <f>AB67*Saisie_Bilan!$E67</f>
        <v>0</v>
      </c>
      <c r="AF67" s="1821">
        <f>AC67*Saisie_Bilan!$E67</f>
        <v>0</v>
      </c>
      <c r="AG67" s="1821">
        <f>AD67*Saisie_Bilan!$E67</f>
        <v>0</v>
      </c>
    </row>
    <row r="68" spans="1:33" x14ac:dyDescent="0.2">
      <c r="A68" s="1944"/>
      <c r="B68" s="1944"/>
      <c r="C68" s="1944" t="s">
        <v>1846</v>
      </c>
      <c r="D68" s="1944"/>
      <c r="E68" s="1987"/>
      <c r="F68" s="1957" t="s">
        <v>801</v>
      </c>
      <c r="G68" s="1957"/>
      <c r="H68" s="1957"/>
      <c r="I68" s="1957"/>
      <c r="AA68" s="1337" t="str">
        <f>Saisie_Bilan!C68</f>
        <v>- Poulets label</v>
      </c>
      <c r="AB68" s="1526">
        <f>Paramètres!BV26</f>
        <v>27.2</v>
      </c>
      <c r="AC68" s="1526">
        <f>Paramètres!BW26</f>
        <v>11.221000000000002</v>
      </c>
      <c r="AD68" s="1526">
        <f>Paramètres!BX26</f>
        <v>8.6399999999999988</v>
      </c>
      <c r="AE68" s="1821">
        <f>AB68*Saisie_Bilan!$E68</f>
        <v>0</v>
      </c>
      <c r="AF68" s="1821">
        <f>AC68*Saisie_Bilan!$E68</f>
        <v>0</v>
      </c>
      <c r="AG68" s="1821">
        <f>AD68*Saisie_Bilan!$E68</f>
        <v>0</v>
      </c>
    </row>
    <row r="69" spans="1:33" x14ac:dyDescent="0.2">
      <c r="A69" s="1944"/>
      <c r="B69" s="1944"/>
      <c r="C69" s="1944" t="s">
        <v>1847</v>
      </c>
      <c r="D69" s="1944"/>
      <c r="E69" s="1987"/>
      <c r="F69" s="1957" t="s">
        <v>801</v>
      </c>
      <c r="G69" s="1957"/>
      <c r="H69" s="1957"/>
      <c r="I69" s="1957"/>
      <c r="AA69" s="1337" t="str">
        <f>Saisie_Bilan!C69</f>
        <v>- Poulets bio</v>
      </c>
      <c r="AB69" s="1526">
        <f>Paramètres!BV27</f>
        <v>29.44</v>
      </c>
      <c r="AC69" s="1526">
        <f>Paramètres!BW27</f>
        <v>13.968999999999999</v>
      </c>
      <c r="AD69" s="1526">
        <f>Paramètres!BX27</f>
        <v>9.48</v>
      </c>
      <c r="AE69" s="1821">
        <f>AB69*Saisie_Bilan!$E69</f>
        <v>0</v>
      </c>
      <c r="AF69" s="1821">
        <f>AC69*Saisie_Bilan!$E69</f>
        <v>0</v>
      </c>
      <c r="AG69" s="1821">
        <f>AD69*Saisie_Bilan!$E69</f>
        <v>0</v>
      </c>
    </row>
    <row r="70" spans="1:33" x14ac:dyDescent="0.2">
      <c r="A70" s="1944"/>
      <c r="B70" s="1944"/>
      <c r="C70" s="1944" t="s">
        <v>1848</v>
      </c>
      <c r="D70" s="1944"/>
      <c r="E70" s="1987"/>
      <c r="F70" s="1957" t="s">
        <v>801</v>
      </c>
      <c r="G70" s="1957"/>
      <c r="H70" s="1957"/>
      <c r="I70" s="1957"/>
      <c r="AA70" s="1337" t="str">
        <f>Saisie_Bilan!C70</f>
        <v>- Coquelets</v>
      </c>
      <c r="AB70" s="1526">
        <f>Paramètres!BV28</f>
        <v>30.56</v>
      </c>
      <c r="AC70" s="1526">
        <f>Paramètres!BW28</f>
        <v>11.908000000000001</v>
      </c>
      <c r="AD70" s="1526">
        <f>Paramètres!BX28</f>
        <v>9.48</v>
      </c>
      <c r="AE70" s="1821">
        <f>AB70*Saisie_Bilan!$E70</f>
        <v>0</v>
      </c>
      <c r="AF70" s="1821">
        <f>AC70*Saisie_Bilan!$E70</f>
        <v>0</v>
      </c>
      <c r="AG70" s="1821">
        <f>AD70*Saisie_Bilan!$E70</f>
        <v>0</v>
      </c>
    </row>
    <row r="71" spans="1:33" x14ac:dyDescent="0.2">
      <c r="A71" s="1944"/>
      <c r="B71" s="1944"/>
      <c r="C71" s="1944" t="s">
        <v>1849</v>
      </c>
      <c r="D71" s="1944"/>
      <c r="E71" s="1987"/>
      <c r="F71" s="1957" t="s">
        <v>801</v>
      </c>
      <c r="G71" s="1957"/>
      <c r="H71" s="1957"/>
      <c r="I71" s="1957"/>
      <c r="AA71" s="1337" t="str">
        <f>Saisie_Bilan!C71</f>
        <v>- Chapons + Poulardes</v>
      </c>
      <c r="AB71" s="1526">
        <f>Paramètres!BV29</f>
        <v>26.08</v>
      </c>
      <c r="AC71" s="1526">
        <f>Paramètres!BW29</f>
        <v>10.991999999999999</v>
      </c>
      <c r="AD71" s="1526">
        <f>Paramètres!BX29</f>
        <v>8.4</v>
      </c>
      <c r="AE71" s="1821">
        <f>AB71*Saisie_Bilan!$E71</f>
        <v>0</v>
      </c>
      <c r="AF71" s="1821">
        <f>AC71*Saisie_Bilan!$E71</f>
        <v>0</v>
      </c>
      <c r="AG71" s="1821">
        <f>AD71*Saisie_Bilan!$E71</f>
        <v>0</v>
      </c>
    </row>
    <row r="72" spans="1:33" x14ac:dyDescent="0.2">
      <c r="A72" s="1944"/>
      <c r="B72" s="1944"/>
      <c r="C72" s="1944" t="s">
        <v>1850</v>
      </c>
      <c r="D72" s="1944"/>
      <c r="E72" s="1987"/>
      <c r="F72" s="1957" t="s">
        <v>801</v>
      </c>
      <c r="G72" s="1957"/>
      <c r="H72" s="1957"/>
      <c r="I72" s="1957"/>
      <c r="AA72" s="1337" t="str">
        <f>Saisie_Bilan!C72</f>
        <v>- Oies reproductrices</v>
      </c>
      <c r="AB72" s="1526">
        <f>Paramètres!BV30</f>
        <v>26.4</v>
      </c>
      <c r="AC72" s="1526">
        <f>Paramètres!BW30</f>
        <v>13.968999999999999</v>
      </c>
      <c r="AD72" s="1526">
        <f>Paramètres!BX30</f>
        <v>9.6</v>
      </c>
      <c r="AE72" s="1821">
        <f>AB72*Saisie_Bilan!$E72</f>
        <v>0</v>
      </c>
      <c r="AF72" s="1821">
        <f>AC72*Saisie_Bilan!$E72</f>
        <v>0</v>
      </c>
      <c r="AG72" s="1821">
        <f>AD72*Saisie_Bilan!$E72</f>
        <v>0</v>
      </c>
    </row>
    <row r="73" spans="1:33" x14ac:dyDescent="0.2">
      <c r="A73" s="1944"/>
      <c r="B73" s="1944"/>
      <c r="C73" s="1944" t="s">
        <v>1851</v>
      </c>
      <c r="D73" s="1944"/>
      <c r="E73" s="1987"/>
      <c r="F73" s="1957" t="s">
        <v>801</v>
      </c>
      <c r="G73" s="1957"/>
      <c r="H73" s="1957"/>
      <c r="I73" s="1957"/>
      <c r="AA73" s="1337" t="str">
        <f>Saisie_Bilan!C73</f>
        <v>- Oies futures reproductrices chair</v>
      </c>
      <c r="AB73" s="1526">
        <f>Paramètres!BV31</f>
        <v>26.4</v>
      </c>
      <c r="AC73" s="1526">
        <f>Paramètres!BW31</f>
        <v>11.45</v>
      </c>
      <c r="AD73" s="1526">
        <f>Paramètres!BX31</f>
        <v>9.24</v>
      </c>
      <c r="AE73" s="1821">
        <f>AB73*Saisie_Bilan!$E73</f>
        <v>0</v>
      </c>
      <c r="AF73" s="1821">
        <f>AC73*Saisie_Bilan!$E73</f>
        <v>0</v>
      </c>
      <c r="AG73" s="1821">
        <f>AD73*Saisie_Bilan!$E73</f>
        <v>0</v>
      </c>
    </row>
    <row r="74" spans="1:33" x14ac:dyDescent="0.2">
      <c r="A74" s="1944"/>
      <c r="B74" s="1944"/>
      <c r="C74" s="1944" t="s">
        <v>1852</v>
      </c>
      <c r="D74" s="1944"/>
      <c r="E74" s="1987"/>
      <c r="F74" s="1957" t="s">
        <v>801</v>
      </c>
      <c r="G74" s="1957"/>
      <c r="H74" s="1957"/>
      <c r="I74" s="1957"/>
      <c r="AA74" s="1337" t="str">
        <f>Saisie_Bilan!C74</f>
        <v>- Oies futures reproductrices gras</v>
      </c>
      <c r="AB74" s="1526">
        <f>Paramètres!BV32</f>
        <v>24.8</v>
      </c>
      <c r="AC74" s="1526">
        <f>Paramètres!BW32</f>
        <v>11.45</v>
      </c>
      <c r="AD74" s="1526">
        <f>Paramètres!BX32</f>
        <v>7.0799999999999992</v>
      </c>
      <c r="AE74" s="1821">
        <f>AB74*Saisie_Bilan!$E74</f>
        <v>0</v>
      </c>
      <c r="AF74" s="1821">
        <f>AC74*Saisie_Bilan!$E74</f>
        <v>0</v>
      </c>
      <c r="AG74" s="1821">
        <f>AD74*Saisie_Bilan!$E74</f>
        <v>0</v>
      </c>
    </row>
    <row r="75" spans="1:33" x14ac:dyDescent="0.2">
      <c r="A75" s="1944"/>
      <c r="B75" s="1944"/>
      <c r="C75" s="1980" t="s">
        <v>1935</v>
      </c>
      <c r="D75" s="1944"/>
      <c r="E75" s="1987"/>
      <c r="F75" s="1957" t="s">
        <v>801</v>
      </c>
      <c r="G75" s="1957"/>
      <c r="H75" s="1957"/>
      <c r="I75" s="1957"/>
      <c r="AA75" s="1337" t="str">
        <f>Saisie_Bilan!C75</f>
        <v>- Oies à rotir + label</v>
      </c>
      <c r="AB75" s="1526">
        <f>Paramètres!BV33</f>
        <v>23.52</v>
      </c>
      <c r="AC75" s="1526">
        <f>Paramètres!BW33</f>
        <v>12.137000000000002</v>
      </c>
      <c r="AD75" s="1526">
        <f>Paramètres!BX33</f>
        <v>8.2799999999999994</v>
      </c>
      <c r="AE75" s="1821">
        <f>AB75*Saisie_Bilan!$E75</f>
        <v>0</v>
      </c>
      <c r="AF75" s="1821">
        <f>AC75*Saisie_Bilan!$E75</f>
        <v>0</v>
      </c>
      <c r="AG75" s="1821">
        <f>AD75*Saisie_Bilan!$E75</f>
        <v>0</v>
      </c>
    </row>
    <row r="76" spans="1:33" x14ac:dyDescent="0.2">
      <c r="A76" s="1944"/>
      <c r="B76" s="1944"/>
      <c r="C76" s="1944" t="s">
        <v>1853</v>
      </c>
      <c r="D76" s="1944"/>
      <c r="E76" s="1987"/>
      <c r="F76" s="1957" t="s">
        <v>801</v>
      </c>
      <c r="G76" s="1957"/>
      <c r="H76" s="1957"/>
      <c r="I76" s="1957"/>
      <c r="AA76" s="1337" t="str">
        <f>Saisie_Bilan!C76</f>
        <v>- Oies prêtes à gaver</v>
      </c>
      <c r="AB76" s="1526">
        <f>Paramètres!BV34</f>
        <v>23.52</v>
      </c>
      <c r="AC76" s="1526">
        <f>Paramètres!BW34</f>
        <v>11.221000000000002</v>
      </c>
      <c r="AD76" s="1526">
        <f>Paramètres!BX34</f>
        <v>7.8</v>
      </c>
      <c r="AE76" s="1821">
        <f>AB76*Saisie_Bilan!$E76</f>
        <v>0</v>
      </c>
      <c r="AF76" s="1821">
        <f>AC76*Saisie_Bilan!$E76</f>
        <v>0</v>
      </c>
      <c r="AG76" s="1821">
        <f>AD76*Saisie_Bilan!$E76</f>
        <v>0</v>
      </c>
    </row>
    <row r="77" spans="1:33" x14ac:dyDescent="0.2">
      <c r="A77" s="1944"/>
      <c r="B77" s="1944"/>
      <c r="C77" s="1980" t="s">
        <v>1938</v>
      </c>
      <c r="D77" s="1944"/>
      <c r="E77" s="1987"/>
      <c r="F77" s="1957" t="s">
        <v>801</v>
      </c>
      <c r="G77" s="1957"/>
      <c r="H77" s="1957"/>
      <c r="I77" s="1957"/>
      <c r="AA77" s="1337" t="str">
        <f>Saisie_Bilan!C77</f>
        <v>- Oies grasses (en gavage)</v>
      </c>
      <c r="AB77" s="1526">
        <f>Paramètres!BV35</f>
        <v>12.16</v>
      </c>
      <c r="AC77" s="1526">
        <f>Paramètres!BW35</f>
        <v>5.2670000000000003</v>
      </c>
      <c r="AD77" s="1526">
        <f>Paramètres!BX35</f>
        <v>3.96</v>
      </c>
      <c r="AE77" s="1821">
        <f>AB77*Saisie_Bilan!$E77</f>
        <v>0</v>
      </c>
      <c r="AF77" s="1821">
        <f>AC77*Saisie_Bilan!$E77</f>
        <v>0</v>
      </c>
      <c r="AG77" s="1821">
        <f>AD77*Saisie_Bilan!$E77</f>
        <v>0</v>
      </c>
    </row>
    <row r="78" spans="1:33" x14ac:dyDescent="0.2">
      <c r="A78" s="1944"/>
      <c r="B78" s="1944"/>
      <c r="C78" s="1944" t="s">
        <v>1854</v>
      </c>
      <c r="D78" s="1944"/>
      <c r="E78" s="1987"/>
      <c r="F78" s="1957" t="s">
        <v>801</v>
      </c>
      <c r="G78" s="1957"/>
      <c r="H78" s="1957"/>
      <c r="I78" s="1957"/>
      <c r="AA78" s="1337" t="str">
        <f>Saisie_Bilan!C78</f>
        <v>- Canes reproductrices barbarie</v>
      </c>
      <c r="AB78" s="1526">
        <f>Paramètres!BV36</f>
        <v>26.08</v>
      </c>
      <c r="AC78" s="1526">
        <f>Paramètres!BW36</f>
        <v>11.678999999999998</v>
      </c>
      <c r="AD78" s="1526">
        <f>Paramètres!BX36</f>
        <v>8.76</v>
      </c>
      <c r="AE78" s="1821">
        <f>AB78*Saisie_Bilan!$E78</f>
        <v>0</v>
      </c>
      <c r="AF78" s="1821">
        <f>AC78*Saisie_Bilan!$E78</f>
        <v>0</v>
      </c>
      <c r="AG78" s="1821">
        <f>AD78*Saisie_Bilan!$E78</f>
        <v>0</v>
      </c>
    </row>
    <row r="79" spans="1:33" x14ac:dyDescent="0.2">
      <c r="A79" s="1944"/>
      <c r="B79" s="1944"/>
      <c r="C79" s="1944" t="s">
        <v>1855</v>
      </c>
      <c r="D79" s="1944"/>
      <c r="E79" s="1987"/>
      <c r="F79" s="1957" t="s">
        <v>801</v>
      </c>
      <c r="G79" s="1957"/>
      <c r="H79" s="1957"/>
      <c r="I79" s="1957"/>
      <c r="AA79" s="1337" t="str">
        <f>Saisie_Bilan!C79</f>
        <v>- Canes reproductrices pékin</v>
      </c>
      <c r="AB79" s="1526">
        <f>Paramètres!BV37</f>
        <v>27.52</v>
      </c>
      <c r="AC79" s="1526">
        <f>Paramètres!BW37</f>
        <v>11.678999999999998</v>
      </c>
      <c r="AD79" s="1526">
        <f>Paramètres!BX37</f>
        <v>9.3600000000000012</v>
      </c>
      <c r="AE79" s="1821">
        <f>AB79*Saisie_Bilan!$E79</f>
        <v>0</v>
      </c>
      <c r="AF79" s="1821">
        <f>AC79*Saisie_Bilan!$E79</f>
        <v>0</v>
      </c>
      <c r="AG79" s="1821">
        <f>AD79*Saisie_Bilan!$E79</f>
        <v>0</v>
      </c>
    </row>
    <row r="80" spans="1:33" x14ac:dyDescent="0.2">
      <c r="A80" s="1944"/>
      <c r="B80" s="1944"/>
      <c r="C80" s="1980" t="s">
        <v>1939</v>
      </c>
      <c r="D80" s="1944"/>
      <c r="E80" s="1987"/>
      <c r="F80" s="1957" t="s">
        <v>801</v>
      </c>
      <c r="G80" s="1957"/>
      <c r="H80" s="1957"/>
      <c r="I80" s="1957"/>
      <c r="AA80" s="1337" t="str">
        <f>Saisie_Bilan!C80</f>
        <v>- Canards gras et pékin + en gavage</v>
      </c>
      <c r="AB80" s="1526">
        <f>Paramètres!BV38</f>
        <v>25.92</v>
      </c>
      <c r="AC80" s="1526">
        <f>Paramètres!BW38</f>
        <v>10.305</v>
      </c>
      <c r="AD80" s="1526">
        <f>Paramètres!BX38</f>
        <v>8.4</v>
      </c>
      <c r="AE80" s="1821">
        <f>AB80*Saisie_Bilan!$E80</f>
        <v>0</v>
      </c>
      <c r="AF80" s="1821">
        <f>AC80*Saisie_Bilan!$E80</f>
        <v>0</v>
      </c>
      <c r="AG80" s="1821">
        <f>AD80*Saisie_Bilan!$E80</f>
        <v>0</v>
      </c>
    </row>
    <row r="81" spans="1:33" x14ac:dyDescent="0.2">
      <c r="A81" s="1944"/>
      <c r="B81" s="1944"/>
      <c r="C81" s="1944" t="s">
        <v>1856</v>
      </c>
      <c r="D81" s="1944"/>
      <c r="E81" s="1987"/>
      <c r="F81" s="1957" t="s">
        <v>801</v>
      </c>
      <c r="G81" s="1957"/>
      <c r="H81" s="1957"/>
      <c r="I81" s="1957"/>
      <c r="AA81" s="1337" t="str">
        <f>Saisie_Bilan!C81</f>
        <v>- Canards mulards prêts à gaver</v>
      </c>
      <c r="AB81" s="1526">
        <f>Paramètres!BV39</f>
        <v>26.56</v>
      </c>
      <c r="AC81" s="1526">
        <f>Paramètres!BW39</f>
        <v>10.991999999999999</v>
      </c>
      <c r="AD81" s="1526">
        <f>Paramètres!BX39</f>
        <v>8.2799999999999994</v>
      </c>
      <c r="AE81" s="1821">
        <f>AB81*Saisie_Bilan!$E81</f>
        <v>0</v>
      </c>
      <c r="AF81" s="1821">
        <f>AC81*Saisie_Bilan!$E81</f>
        <v>0</v>
      </c>
      <c r="AG81" s="1821">
        <f>AD81*Saisie_Bilan!$E81</f>
        <v>0</v>
      </c>
    </row>
    <row r="82" spans="1:33" x14ac:dyDescent="0.2">
      <c r="A82" s="1944"/>
      <c r="B82" s="1944"/>
      <c r="C82" s="1944" t="s">
        <v>1857</v>
      </c>
      <c r="D82" s="1944"/>
      <c r="E82" s="1987"/>
      <c r="F82" s="1957" t="s">
        <v>801</v>
      </c>
      <c r="G82" s="1957"/>
      <c r="H82" s="1957"/>
      <c r="I82" s="1957"/>
      <c r="AA82" s="1337" t="str">
        <f>Saisie_Bilan!C82</f>
        <v>- Canards de barbarie mâles</v>
      </c>
      <c r="AB82" s="1526">
        <f>Paramètres!BV40</f>
        <v>26.4</v>
      </c>
      <c r="AC82" s="1526">
        <f>Paramètres!BW40</f>
        <v>10.305</v>
      </c>
      <c r="AD82" s="1526">
        <f>Paramètres!BX40</f>
        <v>8.4</v>
      </c>
      <c r="AE82" s="1821">
        <f>AB82*Saisie_Bilan!$E82</f>
        <v>0</v>
      </c>
      <c r="AF82" s="1821">
        <f>AC82*Saisie_Bilan!$E82</f>
        <v>0</v>
      </c>
      <c r="AG82" s="1821">
        <f>AD82*Saisie_Bilan!$E82</f>
        <v>0</v>
      </c>
    </row>
    <row r="83" spans="1:33" x14ac:dyDescent="0.2">
      <c r="A83" s="1944"/>
      <c r="B83" s="1944"/>
      <c r="C83" s="1944" t="s">
        <v>1858</v>
      </c>
      <c r="D83" s="1944"/>
      <c r="E83" s="1987"/>
      <c r="F83" s="1957" t="s">
        <v>801</v>
      </c>
      <c r="G83" s="1957"/>
      <c r="H83" s="1957"/>
      <c r="I83" s="1957"/>
      <c r="AA83" s="1337" t="str">
        <f>Saisie_Bilan!C83</f>
        <v>- Canettes (barbarie + pékin)</v>
      </c>
      <c r="AB83" s="1526">
        <f>Paramètres!BV41</f>
        <v>25.76</v>
      </c>
      <c r="AC83" s="1526">
        <f>Paramètres!BW41</f>
        <v>9.8469999999999995</v>
      </c>
      <c r="AD83" s="1526">
        <f>Paramètres!BX41</f>
        <v>8.4</v>
      </c>
      <c r="AE83" s="1821">
        <f>AB83*Saisie_Bilan!$E83</f>
        <v>0</v>
      </c>
      <c r="AF83" s="1821">
        <f>AC83*Saisie_Bilan!$E83</f>
        <v>0</v>
      </c>
      <c r="AG83" s="1821">
        <f>AD83*Saisie_Bilan!$E83</f>
        <v>0</v>
      </c>
    </row>
    <row r="84" spans="1:33" x14ac:dyDescent="0.2">
      <c r="A84" s="1944"/>
      <c r="B84" s="1944"/>
      <c r="C84" s="1944" t="s">
        <v>1859</v>
      </c>
      <c r="D84" s="1944"/>
      <c r="E84" s="1987"/>
      <c r="F84" s="1957" t="s">
        <v>801</v>
      </c>
      <c r="G84" s="1957"/>
      <c r="H84" s="1957"/>
      <c r="I84" s="1957"/>
      <c r="AA84" s="1337" t="str">
        <f>Saisie_Bilan!C84</f>
        <v>- Canards barbarie "sexes mélangés"</v>
      </c>
      <c r="AB84" s="1526">
        <f>Paramètres!BV42</f>
        <v>26.08</v>
      </c>
      <c r="AC84" s="1526">
        <f>Paramètres!BW42</f>
        <v>10.991999999999999</v>
      </c>
      <c r="AD84" s="1526">
        <f>Paramètres!BX42</f>
        <v>8.4</v>
      </c>
      <c r="AE84" s="1821">
        <f>AB84*Saisie_Bilan!$E84</f>
        <v>0</v>
      </c>
      <c r="AF84" s="1821">
        <f>AC84*Saisie_Bilan!$E84</f>
        <v>0</v>
      </c>
      <c r="AG84" s="1821">
        <f>AD84*Saisie_Bilan!$E84</f>
        <v>0</v>
      </c>
    </row>
    <row r="85" spans="1:33" x14ac:dyDescent="0.2">
      <c r="A85" s="1944"/>
      <c r="B85" s="1944"/>
      <c r="C85" s="1944" t="s">
        <v>1860</v>
      </c>
      <c r="D85" s="1944"/>
      <c r="E85" s="1987"/>
      <c r="F85" s="1957" t="s">
        <v>801</v>
      </c>
      <c r="G85" s="1957"/>
      <c r="H85" s="1957"/>
      <c r="I85" s="1957"/>
      <c r="AA85" s="1337" t="str">
        <f>Saisie_Bilan!C85</f>
        <v>- Dindes reproductrices</v>
      </c>
      <c r="AB85" s="1526">
        <f>Paramètres!BV43</f>
        <v>26.4</v>
      </c>
      <c r="AC85" s="1526">
        <f>Paramètres!BW43</f>
        <v>15.572000000000003</v>
      </c>
      <c r="AD85" s="1526">
        <f>Paramètres!BX43</f>
        <v>8.8800000000000008</v>
      </c>
      <c r="AE85" s="1821">
        <f>AB85*Saisie_Bilan!$E85</f>
        <v>0</v>
      </c>
      <c r="AF85" s="1821">
        <f>AC85*Saisie_Bilan!$E85</f>
        <v>0</v>
      </c>
      <c r="AG85" s="1821">
        <f>AD85*Saisie_Bilan!$E85</f>
        <v>0</v>
      </c>
    </row>
    <row r="86" spans="1:33" x14ac:dyDescent="0.2">
      <c r="A86" s="1944"/>
      <c r="B86" s="1944"/>
      <c r="C86" s="1944" t="s">
        <v>1861</v>
      </c>
      <c r="D86" s="1944"/>
      <c r="E86" s="1987"/>
      <c r="F86" s="1957" t="s">
        <v>801</v>
      </c>
      <c r="G86" s="1957"/>
      <c r="H86" s="1957"/>
      <c r="I86" s="1957"/>
      <c r="AA86" s="1337" t="str">
        <f>Saisie_Bilan!C86</f>
        <v>- Dindes futures reproductrices</v>
      </c>
      <c r="AB86" s="1526">
        <f>Paramètres!BV44</f>
        <v>21.6</v>
      </c>
      <c r="AC86" s="1526">
        <f>Paramètres!BW44</f>
        <v>13.052999999999999</v>
      </c>
      <c r="AD86" s="1526">
        <f>Paramètres!BX44</f>
        <v>7.8</v>
      </c>
      <c r="AE86" s="1821">
        <f>AB86*Saisie_Bilan!$E86</f>
        <v>0</v>
      </c>
      <c r="AF86" s="1821">
        <f>AC86*Saisie_Bilan!$E86</f>
        <v>0</v>
      </c>
      <c r="AG86" s="1821">
        <f>AD86*Saisie_Bilan!$E86</f>
        <v>0</v>
      </c>
    </row>
    <row r="87" spans="1:33" x14ac:dyDescent="0.2">
      <c r="A87" s="1944"/>
      <c r="B87" s="1944"/>
      <c r="C87" s="1944" t="s">
        <v>1862</v>
      </c>
      <c r="D87" s="1944"/>
      <c r="E87" s="1987"/>
      <c r="F87" s="1957" t="s">
        <v>801</v>
      </c>
      <c r="G87" s="1957"/>
      <c r="H87" s="1957"/>
      <c r="I87" s="1957"/>
      <c r="AA87" s="1337" t="str">
        <f>Saisie_Bilan!C87</f>
        <v>- Dindes à rôtir standard</v>
      </c>
      <c r="AB87" s="1526">
        <f>Paramètres!BV45</f>
        <v>37.6</v>
      </c>
      <c r="AC87" s="1526">
        <f>Paramètres!BW45</f>
        <v>17.632999999999999</v>
      </c>
      <c r="AD87" s="1526">
        <f>Paramètres!BX45</f>
        <v>12.239999999999998</v>
      </c>
      <c r="AE87" s="1821">
        <f>AB87*Saisie_Bilan!$E87</f>
        <v>0</v>
      </c>
      <c r="AF87" s="1821">
        <f>AC87*Saisie_Bilan!$E87</f>
        <v>0</v>
      </c>
      <c r="AG87" s="1821">
        <f>AD87*Saisie_Bilan!$E87</f>
        <v>0</v>
      </c>
    </row>
    <row r="88" spans="1:33" x14ac:dyDescent="0.2">
      <c r="A88" s="1944"/>
      <c r="B88" s="1944"/>
      <c r="C88" s="1944" t="s">
        <v>1863</v>
      </c>
      <c r="D88" s="1944"/>
      <c r="E88" s="1987"/>
      <c r="F88" s="1957" t="s">
        <v>801</v>
      </c>
      <c r="G88" s="1957"/>
      <c r="H88" s="1957"/>
      <c r="I88" s="1957"/>
      <c r="AA88" s="1337" t="str">
        <f>Saisie_Bilan!C88</f>
        <v>- Dindes à rôtir Bio</v>
      </c>
      <c r="AB88" s="1526">
        <f>Paramètres!BV46</f>
        <v>29.76</v>
      </c>
      <c r="AC88" s="1526">
        <f>Paramètres!BW46</f>
        <v>14.885</v>
      </c>
      <c r="AD88" s="1526">
        <f>Paramètres!BX46</f>
        <v>8.8800000000000008</v>
      </c>
      <c r="AE88" s="1821">
        <f>AB88*Saisie_Bilan!$E88</f>
        <v>0</v>
      </c>
      <c r="AF88" s="1821">
        <f>AC88*Saisie_Bilan!$E88</f>
        <v>0</v>
      </c>
      <c r="AG88" s="1821">
        <f>AD88*Saisie_Bilan!$E88</f>
        <v>0</v>
      </c>
    </row>
    <row r="89" spans="1:33" x14ac:dyDescent="0.2">
      <c r="A89" s="1944"/>
      <c r="B89" s="1944"/>
      <c r="C89" s="1944" t="s">
        <v>1864</v>
      </c>
      <c r="D89" s="1944"/>
      <c r="E89" s="1987"/>
      <c r="F89" s="1957" t="s">
        <v>801</v>
      </c>
      <c r="G89" s="1957"/>
      <c r="H89" s="1957"/>
      <c r="I89" s="1957"/>
      <c r="AA89" s="1337" t="str">
        <f>Saisie_Bilan!C89</f>
        <v>- Dindes de chair</v>
      </c>
      <c r="AB89" s="1526">
        <f>Paramètres!BV47</f>
        <v>32.32</v>
      </c>
      <c r="AC89" s="1526">
        <f>Paramètres!BW47</f>
        <v>14.885</v>
      </c>
      <c r="AD89" s="1526">
        <f>Paramètres!BX47</f>
        <v>10.68</v>
      </c>
      <c r="AE89" s="1821">
        <f>AB89*Saisie_Bilan!$E89</f>
        <v>0</v>
      </c>
      <c r="AF89" s="1821">
        <f>AC89*Saisie_Bilan!$E89</f>
        <v>0</v>
      </c>
      <c r="AG89" s="1821">
        <f>AD89*Saisie_Bilan!$E89</f>
        <v>0</v>
      </c>
    </row>
    <row r="90" spans="1:33" x14ac:dyDescent="0.2">
      <c r="A90" s="1944"/>
      <c r="B90" s="1944"/>
      <c r="C90" s="1944" t="s">
        <v>1865</v>
      </c>
      <c r="D90" s="1944"/>
      <c r="E90" s="1987"/>
      <c r="F90" s="1957" t="s">
        <v>801</v>
      </c>
      <c r="G90" s="1957"/>
      <c r="H90" s="1957"/>
      <c r="I90" s="1957"/>
      <c r="AA90" s="1337" t="str">
        <f>Saisie_Bilan!C90</f>
        <v>- Dindes à rôtir Label</v>
      </c>
      <c r="AB90" s="1526">
        <f>Paramètres!BV48</f>
        <v>30.08</v>
      </c>
      <c r="AC90" s="1526">
        <f>Paramètres!BW48</f>
        <v>13.510999999999999</v>
      </c>
      <c r="AD90" s="1526">
        <f>Paramètres!BX48</f>
        <v>9.3600000000000012</v>
      </c>
      <c r="AE90" s="1821">
        <f>AB90*Saisie_Bilan!$E90</f>
        <v>0</v>
      </c>
      <c r="AF90" s="1821">
        <f>AC90*Saisie_Bilan!$E90</f>
        <v>0</v>
      </c>
      <c r="AG90" s="1821">
        <f>AD90*Saisie_Bilan!$E90</f>
        <v>0</v>
      </c>
    </row>
    <row r="91" spans="1:33" x14ac:dyDescent="0.2">
      <c r="A91" s="1944"/>
      <c r="B91" s="1944"/>
      <c r="C91" s="1944" t="s">
        <v>1866</v>
      </c>
      <c r="D91" s="1944"/>
      <c r="E91" s="1987"/>
      <c r="F91" s="1957" t="s">
        <v>801</v>
      </c>
      <c r="G91" s="1957"/>
      <c r="H91" s="1957"/>
      <c r="I91" s="1957"/>
      <c r="AA91" s="1337" t="str">
        <f>Saisie_Bilan!C91</f>
        <v>- Dindes lourdes</v>
      </c>
      <c r="AB91" s="1526">
        <f>Paramètres!BV49</f>
        <v>31.68</v>
      </c>
      <c r="AC91" s="1526">
        <f>Paramètres!BW49</f>
        <v>13.282</v>
      </c>
      <c r="AD91" s="1526">
        <f>Paramètres!BX49</f>
        <v>10.319999999999999</v>
      </c>
      <c r="AE91" s="1821">
        <f>AB91*Saisie_Bilan!$E91</f>
        <v>0</v>
      </c>
      <c r="AF91" s="1821">
        <f>AC91*Saisie_Bilan!$E91</f>
        <v>0</v>
      </c>
      <c r="AG91" s="1821">
        <f>AD91*Saisie_Bilan!$E91</f>
        <v>0</v>
      </c>
    </row>
    <row r="92" spans="1:33" x14ac:dyDescent="0.2">
      <c r="A92" s="1944"/>
      <c r="B92" s="1944"/>
      <c r="C92" s="1944" t="s">
        <v>1867</v>
      </c>
      <c r="D92" s="1944"/>
      <c r="E92" s="1987"/>
      <c r="F92" s="1957" t="s">
        <v>801</v>
      </c>
      <c r="G92" s="1957"/>
      <c r="H92" s="1957"/>
      <c r="I92" s="1957"/>
      <c r="AA92" s="1337" t="str">
        <f>Saisie_Bilan!C92</f>
        <v>- Dindons de chair découpe mâles</v>
      </c>
      <c r="AB92" s="1526">
        <f>Paramètres!BV50</f>
        <v>31.68</v>
      </c>
      <c r="AC92" s="1526">
        <f>Paramètres!BW50</f>
        <v>13.282</v>
      </c>
      <c r="AD92" s="1526">
        <f>Paramètres!BX50</f>
        <v>10.199999999999999</v>
      </c>
      <c r="AE92" s="1821">
        <f>AB92*Saisie_Bilan!$E92</f>
        <v>0</v>
      </c>
      <c r="AF92" s="1821">
        <f>AC92*Saisie_Bilan!$E92</f>
        <v>0</v>
      </c>
      <c r="AG92" s="1821">
        <f>AD92*Saisie_Bilan!$E92</f>
        <v>0</v>
      </c>
    </row>
    <row r="93" spans="1:33" x14ac:dyDescent="0.2">
      <c r="A93" s="1944"/>
      <c r="B93" s="1944"/>
      <c r="C93" s="1944" t="s">
        <v>1868</v>
      </c>
      <c r="D93" s="1944"/>
      <c r="E93" s="1987"/>
      <c r="F93" s="1957" t="s">
        <v>801</v>
      </c>
      <c r="G93" s="1957"/>
      <c r="H93" s="1957"/>
      <c r="I93" s="1957"/>
      <c r="AA93" s="1337" t="str">
        <f>Saisie_Bilan!C93</f>
        <v>- Dindes de chair découpe femelles</v>
      </c>
      <c r="AB93" s="1526">
        <f>Paramètres!BV51</f>
        <v>31.68</v>
      </c>
      <c r="AC93" s="1526">
        <f>Paramètres!BW51</f>
        <v>13.282</v>
      </c>
      <c r="AD93" s="1526">
        <f>Paramètres!BX51</f>
        <v>10.199999999999999</v>
      </c>
      <c r="AE93" s="1821">
        <f>AB93*Saisie_Bilan!$E93</f>
        <v>0</v>
      </c>
      <c r="AF93" s="1821">
        <f>AC93*Saisie_Bilan!$E93</f>
        <v>0</v>
      </c>
      <c r="AG93" s="1821">
        <f>AD93*Saisie_Bilan!$E93</f>
        <v>0</v>
      </c>
    </row>
    <row r="94" spans="1:33" x14ac:dyDescent="0.2">
      <c r="A94" s="1944"/>
      <c r="B94" s="1944"/>
      <c r="C94" s="1944" t="s">
        <v>1869</v>
      </c>
      <c r="D94" s="1944"/>
      <c r="E94" s="1987"/>
      <c r="F94" s="1957" t="s">
        <v>801</v>
      </c>
      <c r="G94" s="1957"/>
      <c r="H94" s="1957"/>
      <c r="I94" s="1957"/>
      <c r="AA94" s="1337" t="str">
        <f>Saisie_Bilan!C94</f>
        <v>- Pintades reproductrices</v>
      </c>
      <c r="AB94" s="1526">
        <f>Paramètres!BV52</f>
        <v>26.4</v>
      </c>
      <c r="AC94" s="1526">
        <f>Paramètres!BW52</f>
        <v>15.572000000000003</v>
      </c>
      <c r="AD94" s="1526">
        <f>Paramètres!BX52</f>
        <v>8.8800000000000008</v>
      </c>
      <c r="AE94" s="1821">
        <f>AB94*Saisie_Bilan!$E94</f>
        <v>0</v>
      </c>
      <c r="AF94" s="1821">
        <f>AC94*Saisie_Bilan!$E94</f>
        <v>0</v>
      </c>
      <c r="AG94" s="1821">
        <f>AD94*Saisie_Bilan!$E94</f>
        <v>0</v>
      </c>
    </row>
    <row r="95" spans="1:33" x14ac:dyDescent="0.2">
      <c r="A95" s="1944"/>
      <c r="B95" s="1944"/>
      <c r="C95" s="1944" t="s">
        <v>1870</v>
      </c>
      <c r="D95" s="1944"/>
      <c r="E95" s="1987"/>
      <c r="F95" s="1957" t="s">
        <v>801</v>
      </c>
      <c r="G95" s="1957"/>
      <c r="H95" s="1957"/>
      <c r="I95" s="1957"/>
      <c r="AA95" s="1337" t="str">
        <f>Saisie_Bilan!C95</f>
        <v>- Pintades futures reproductrices</v>
      </c>
      <c r="AB95" s="1526">
        <f>Paramètres!BV53</f>
        <v>22.4</v>
      </c>
      <c r="AC95" s="1526">
        <f>Paramètres!BW53</f>
        <v>12.595000000000001</v>
      </c>
      <c r="AD95" s="1526">
        <f>Paramètres!BX53</f>
        <v>9.7200000000000006</v>
      </c>
      <c r="AE95" s="1821">
        <f>AB95*Saisie_Bilan!$E95</f>
        <v>0</v>
      </c>
      <c r="AF95" s="1821">
        <f>AC95*Saisie_Bilan!$E95</f>
        <v>0</v>
      </c>
      <c r="AG95" s="1821">
        <f>AD95*Saisie_Bilan!$E95</f>
        <v>0</v>
      </c>
    </row>
    <row r="96" spans="1:33" x14ac:dyDescent="0.2">
      <c r="A96" s="1944"/>
      <c r="B96" s="1944"/>
      <c r="C96" s="1944" t="s">
        <v>1871</v>
      </c>
      <c r="D96" s="1944"/>
      <c r="E96" s="1987"/>
      <c r="F96" s="1957" t="s">
        <v>801</v>
      </c>
      <c r="G96" s="1957"/>
      <c r="H96" s="1957"/>
      <c r="I96" s="1957"/>
      <c r="AA96" s="1337" t="str">
        <f>Saisie_Bilan!C96</f>
        <v>- Pintades de chair standard</v>
      </c>
      <c r="AB96" s="1526">
        <f>Paramètres!BV54</f>
        <v>28.96</v>
      </c>
      <c r="AC96" s="1526">
        <f>Paramètres!BW54</f>
        <v>11.678999999999998</v>
      </c>
      <c r="AD96" s="1526">
        <f>Paramètres!BX54</f>
        <v>9.48</v>
      </c>
      <c r="AE96" s="1821">
        <f>AB96*Saisie_Bilan!$E96</f>
        <v>0</v>
      </c>
      <c r="AF96" s="1821">
        <f>AC96*Saisie_Bilan!$E96</f>
        <v>0</v>
      </c>
      <c r="AG96" s="1821">
        <f>AD96*Saisie_Bilan!$E96</f>
        <v>0</v>
      </c>
    </row>
    <row r="97" spans="1:33" x14ac:dyDescent="0.2">
      <c r="A97" s="1944"/>
      <c r="B97" s="1944"/>
      <c r="C97" s="1944" t="s">
        <v>1872</v>
      </c>
      <c r="D97" s="1944"/>
      <c r="E97" s="1987"/>
      <c r="F97" s="1957" t="s">
        <v>801</v>
      </c>
      <c r="G97" s="1957"/>
      <c r="H97" s="1957"/>
      <c r="I97" s="1957"/>
      <c r="AA97" s="1337" t="str">
        <f>Saisie_Bilan!C97</f>
        <v>- Pintades de chair label</v>
      </c>
      <c r="AB97" s="1526">
        <f>Paramètres!BV55</f>
        <v>27.04</v>
      </c>
      <c r="AC97" s="1526">
        <f>Paramètres!BW55</f>
        <v>13.052999999999999</v>
      </c>
      <c r="AD97" s="1526">
        <f>Paramètres!BX55</f>
        <v>8.52</v>
      </c>
      <c r="AE97" s="1821">
        <f>AB97*Saisie_Bilan!$E97</f>
        <v>0</v>
      </c>
      <c r="AF97" s="1821">
        <f>AC97*Saisie_Bilan!$E97</f>
        <v>0</v>
      </c>
      <c r="AG97" s="1821">
        <f>AD97*Saisie_Bilan!$E97</f>
        <v>0</v>
      </c>
    </row>
    <row r="98" spans="1:33" x14ac:dyDescent="0.2">
      <c r="A98" s="1944"/>
      <c r="B98" s="1944"/>
      <c r="C98" s="1944" t="s">
        <v>1873</v>
      </c>
      <c r="D98" s="1944"/>
      <c r="E98" s="1987"/>
      <c r="F98" s="1957" t="s">
        <v>801</v>
      </c>
      <c r="G98" s="1957"/>
      <c r="H98" s="1957"/>
      <c r="I98" s="1957"/>
      <c r="AA98" s="1337" t="str">
        <f>Saisie_Bilan!C98</f>
        <v>- Pintades de chair bio</v>
      </c>
      <c r="AB98" s="1526">
        <f>Paramètres!BV56</f>
        <v>27.04</v>
      </c>
      <c r="AC98" s="1526">
        <f>Paramètres!BW56</f>
        <v>13.052999999999999</v>
      </c>
      <c r="AD98" s="1526">
        <f>Paramètres!BX56</f>
        <v>8.52</v>
      </c>
      <c r="AE98" s="1821">
        <f>AB98*Saisie_Bilan!$E98</f>
        <v>0</v>
      </c>
      <c r="AF98" s="1821">
        <f>AC98*Saisie_Bilan!$E98</f>
        <v>0</v>
      </c>
      <c r="AG98" s="1821">
        <f>AD98*Saisie_Bilan!$E98</f>
        <v>0</v>
      </c>
    </row>
    <row r="99" spans="1:33" x14ac:dyDescent="0.2">
      <c r="A99" s="1944"/>
      <c r="B99" s="1957"/>
      <c r="C99" s="1944"/>
      <c r="D99" s="1944"/>
      <c r="E99" s="1944"/>
      <c r="F99" s="1944"/>
      <c r="G99" s="1944"/>
      <c r="H99" s="1944"/>
      <c r="I99" s="1944"/>
      <c r="AA99" s="1337"/>
      <c r="AB99" s="3152" t="s">
        <v>1894</v>
      </c>
      <c r="AC99" s="3152"/>
      <c r="AD99" s="3152"/>
      <c r="AE99" s="3152" t="s">
        <v>1835</v>
      </c>
      <c r="AF99" s="3152"/>
      <c r="AG99" s="3152"/>
    </row>
    <row r="100" spans="1:33" x14ac:dyDescent="0.2">
      <c r="A100" s="1944"/>
      <c r="B100" s="1957" t="s">
        <v>443</v>
      </c>
      <c r="C100" s="1944"/>
      <c r="D100" s="1944"/>
      <c r="E100" s="1944"/>
      <c r="F100" s="1944"/>
      <c r="G100" s="1944"/>
      <c r="H100" s="1944"/>
      <c r="I100" s="1944"/>
      <c r="AA100" s="1520" t="s">
        <v>443</v>
      </c>
      <c r="AB100" s="1947" t="s">
        <v>625</v>
      </c>
      <c r="AC100" s="1947" t="s">
        <v>187</v>
      </c>
      <c r="AD100" s="1947" t="s">
        <v>665</v>
      </c>
      <c r="AE100" s="1947" t="s">
        <v>625</v>
      </c>
      <c r="AF100" s="1947" t="s">
        <v>187</v>
      </c>
      <c r="AG100" s="1947" t="s">
        <v>665</v>
      </c>
    </row>
    <row r="101" spans="1:33" x14ac:dyDescent="0.2">
      <c r="A101" s="1944"/>
      <c r="B101" s="1957"/>
      <c r="C101" s="1958" t="s">
        <v>1874</v>
      </c>
      <c r="D101" s="1944"/>
      <c r="E101" s="1987"/>
      <c r="F101" s="1957" t="s">
        <v>801</v>
      </c>
      <c r="G101" s="1957"/>
      <c r="H101" s="1957"/>
      <c r="I101" s="1957"/>
      <c r="AA101" s="1337" t="str">
        <f>Saisie_Bilan!C101</f>
        <v>- aliment à 17% de protéines</v>
      </c>
      <c r="AB101" s="1526">
        <f>Paramètres!BV59</f>
        <v>27.2</v>
      </c>
      <c r="AC101" s="1526">
        <f>Paramètres!BW59</f>
        <v>12.6</v>
      </c>
      <c r="AD101" s="1526">
        <f>Paramètres!BX59</f>
        <v>10</v>
      </c>
      <c r="AE101" s="1821">
        <f>AB101*Saisie_Bilan!$E101</f>
        <v>0</v>
      </c>
      <c r="AF101" s="1821">
        <f>AC101*Saisie_Bilan!$E101</f>
        <v>0</v>
      </c>
      <c r="AG101" s="1821">
        <f>AD101*Saisie_Bilan!$E101</f>
        <v>0</v>
      </c>
    </row>
    <row r="102" spans="1:33" x14ac:dyDescent="0.2">
      <c r="A102" s="1944"/>
      <c r="B102" s="1944"/>
      <c r="C102" s="1958" t="s">
        <v>1875</v>
      </c>
      <c r="D102" s="1944"/>
      <c r="E102" s="1987"/>
      <c r="F102" s="1957" t="s">
        <v>801</v>
      </c>
      <c r="G102" s="1957"/>
      <c r="H102" s="1957"/>
      <c r="I102" s="1957"/>
      <c r="AA102" s="1337" t="str">
        <f>Saisie_Bilan!C102</f>
        <v>- aliment à 16.5% de protéines</v>
      </c>
      <c r="AB102" s="1526">
        <f>Paramètres!BV60</f>
        <v>26.4</v>
      </c>
      <c r="AC102" s="1526">
        <f>Paramètres!BW60</f>
        <v>12.6</v>
      </c>
      <c r="AD102" s="1526">
        <f>Paramètres!BX60</f>
        <v>10</v>
      </c>
      <c r="AE102" s="1821">
        <f>AB102*Saisie_Bilan!$E102</f>
        <v>0</v>
      </c>
      <c r="AF102" s="1821">
        <f>AC102*Saisie_Bilan!$E102</f>
        <v>0</v>
      </c>
      <c r="AG102" s="1821">
        <f>AD102*Saisie_Bilan!$E102</f>
        <v>0</v>
      </c>
    </row>
    <row r="103" spans="1:33" x14ac:dyDescent="0.2">
      <c r="A103" s="1944"/>
      <c r="B103" s="1944"/>
      <c r="C103" s="1958" t="s">
        <v>1876</v>
      </c>
      <c r="D103" s="1944"/>
      <c r="E103" s="1987"/>
      <c r="F103" s="1957" t="s">
        <v>801</v>
      </c>
      <c r="G103" s="1957"/>
      <c r="H103" s="1957"/>
      <c r="I103" s="1957"/>
      <c r="AA103" s="1337" t="str">
        <f>Saisie_Bilan!C103</f>
        <v>- aliment à 16% de protéines</v>
      </c>
      <c r="AB103" s="1526">
        <f>Paramètres!BV61</f>
        <v>25.6</v>
      </c>
      <c r="AC103" s="1526">
        <f>Paramètres!BW61</f>
        <v>12.6</v>
      </c>
      <c r="AD103" s="1526">
        <f>Paramètres!BX61</f>
        <v>10</v>
      </c>
      <c r="AE103" s="1821">
        <f>AB103*Saisie_Bilan!$E103</f>
        <v>0</v>
      </c>
      <c r="AF103" s="1821">
        <f>AC103*Saisie_Bilan!$E103</f>
        <v>0</v>
      </c>
      <c r="AG103" s="1821">
        <f>AD103*Saisie_Bilan!$E103</f>
        <v>0</v>
      </c>
    </row>
    <row r="104" spans="1:33" x14ac:dyDescent="0.2">
      <c r="A104" s="1944"/>
      <c r="B104" s="1944"/>
      <c r="C104" s="1958" t="s">
        <v>1877</v>
      </c>
      <c r="D104" s="1944"/>
      <c r="E104" s="1987"/>
      <c r="F104" s="1957" t="s">
        <v>801</v>
      </c>
      <c r="G104" s="1957"/>
      <c r="H104" s="1957"/>
      <c r="I104" s="1957"/>
      <c r="AA104" s="1337" t="str">
        <f>Saisie_Bilan!C104</f>
        <v>- aliment à 15.5% de protéines</v>
      </c>
      <c r="AB104" s="1526">
        <f>Paramètres!BV62</f>
        <v>24.8</v>
      </c>
      <c r="AC104" s="1526">
        <f>Paramètres!BW62</f>
        <v>12.6</v>
      </c>
      <c r="AD104" s="1526">
        <f>Paramètres!BX62</f>
        <v>10</v>
      </c>
      <c r="AE104" s="1821">
        <f>AB104*Saisie_Bilan!$E104</f>
        <v>0</v>
      </c>
      <c r="AF104" s="1821">
        <f>AC104*Saisie_Bilan!$E104</f>
        <v>0</v>
      </c>
      <c r="AG104" s="1821">
        <f>AD104*Saisie_Bilan!$E104</f>
        <v>0</v>
      </c>
    </row>
    <row r="105" spans="1:33" x14ac:dyDescent="0.2">
      <c r="A105" s="1944"/>
      <c r="B105" s="1944"/>
      <c r="C105" s="1958" t="s">
        <v>1878</v>
      </c>
      <c r="D105" s="1944"/>
      <c r="E105" s="1987"/>
      <c r="F105" s="1957" t="s">
        <v>801</v>
      </c>
      <c r="G105" s="1957"/>
      <c r="H105" s="1957"/>
      <c r="I105" s="1957"/>
      <c r="AA105" s="1337" t="str">
        <f>Saisie_Bilan!C105</f>
        <v>- aliment à 15% de protéines</v>
      </c>
      <c r="AB105" s="1526">
        <f>Paramètres!BV63</f>
        <v>24</v>
      </c>
      <c r="AC105" s="1526">
        <f>Paramètres!BW63</f>
        <v>12.6</v>
      </c>
      <c r="AD105" s="1526">
        <f>Paramètres!BX63</f>
        <v>10</v>
      </c>
      <c r="AE105" s="1821">
        <f>AB105*Saisie_Bilan!$E105</f>
        <v>0</v>
      </c>
      <c r="AF105" s="1821">
        <f>AC105*Saisie_Bilan!$E105</f>
        <v>0</v>
      </c>
      <c r="AG105" s="1821">
        <f>AD105*Saisie_Bilan!$E105</f>
        <v>0</v>
      </c>
    </row>
    <row r="106" spans="1:33" x14ac:dyDescent="0.2">
      <c r="A106" s="1944"/>
      <c r="B106" s="1944"/>
      <c r="C106" s="1958" t="s">
        <v>1879</v>
      </c>
      <c r="D106" s="1944"/>
      <c r="E106" s="1987"/>
      <c r="F106" s="1957" t="s">
        <v>801</v>
      </c>
      <c r="G106" s="1957"/>
      <c r="H106" s="1957"/>
      <c r="I106" s="1957"/>
      <c r="AA106" s="1337" t="str">
        <f>Saisie_Bilan!C106</f>
        <v>- aliment à 14.5% de protéines</v>
      </c>
      <c r="AB106" s="1526">
        <f>Paramètres!BV64</f>
        <v>23.2</v>
      </c>
      <c r="AC106" s="1526">
        <f>Paramètres!BW64</f>
        <v>12.6</v>
      </c>
      <c r="AD106" s="1526">
        <f>Paramètres!BX64</f>
        <v>10</v>
      </c>
      <c r="AE106" s="1821">
        <f>AB106*Saisie_Bilan!$E106</f>
        <v>0</v>
      </c>
      <c r="AF106" s="1821">
        <f>AC106*Saisie_Bilan!$E106</f>
        <v>0</v>
      </c>
      <c r="AG106" s="1821">
        <f>AD106*Saisie_Bilan!$E106</f>
        <v>0</v>
      </c>
    </row>
    <row r="107" spans="1:33" x14ac:dyDescent="0.2">
      <c r="A107" s="1944"/>
      <c r="B107" s="1944"/>
      <c r="C107" s="1944"/>
      <c r="D107" s="1944"/>
      <c r="E107" s="1944"/>
      <c r="F107" s="1944"/>
      <c r="G107" s="1944"/>
      <c r="H107" s="1944"/>
      <c r="I107" s="1944"/>
    </row>
    <row r="108" spans="1:33" x14ac:dyDescent="0.2">
      <c r="A108" s="1976"/>
      <c r="B108" s="1977" t="s">
        <v>1890</v>
      </c>
      <c r="C108" s="1944"/>
      <c r="D108" s="1944"/>
      <c r="E108" s="1944"/>
      <c r="F108" s="1944"/>
      <c r="G108" s="1944"/>
      <c r="H108" s="1944"/>
      <c r="I108" s="1944"/>
      <c r="AA108" s="1337"/>
      <c r="AB108" s="3152" t="s">
        <v>1894</v>
      </c>
      <c r="AC108" s="3152"/>
      <c r="AD108" s="3152"/>
      <c r="AE108" s="3152" t="s">
        <v>1835</v>
      </c>
      <c r="AF108" s="3152"/>
      <c r="AG108" s="3152"/>
    </row>
    <row r="109" spans="1:33" x14ac:dyDescent="0.2">
      <c r="A109" s="1976"/>
      <c r="B109" s="1976"/>
      <c r="C109" s="1944"/>
      <c r="D109" s="1944"/>
      <c r="E109" s="1944"/>
      <c r="F109" s="1944"/>
      <c r="G109" s="1944"/>
      <c r="H109" s="1944"/>
      <c r="I109" s="1944"/>
      <c r="AA109" s="1337"/>
      <c r="AB109" s="1947" t="s">
        <v>625</v>
      </c>
      <c r="AC109" s="1947" t="s">
        <v>187</v>
      </c>
      <c r="AD109" s="1947" t="s">
        <v>665</v>
      </c>
      <c r="AE109" s="1947" t="s">
        <v>625</v>
      </c>
      <c r="AF109" s="1947" t="s">
        <v>187</v>
      </c>
      <c r="AG109" s="1947" t="s">
        <v>665</v>
      </c>
    </row>
    <row r="110" spans="1:33" x14ac:dyDescent="0.2">
      <c r="A110" s="1976"/>
      <c r="B110" s="1978" t="s">
        <v>1891</v>
      </c>
      <c r="C110" s="1988"/>
      <c r="D110" s="1957" t="s">
        <v>801</v>
      </c>
      <c r="E110" s="1944"/>
      <c r="F110" s="1944"/>
      <c r="G110" s="1944"/>
      <c r="H110" s="1944"/>
      <c r="I110" s="1944"/>
      <c r="AA110" s="1337" t="str">
        <f>Saisie_Bilan!B110</f>
        <v xml:space="preserve"> - Bovins**</v>
      </c>
      <c r="AB110" s="1526">
        <f>Paramètres!BV67</f>
        <v>24</v>
      </c>
      <c r="AC110" s="1526">
        <f>Paramètres!BW67</f>
        <v>16</v>
      </c>
      <c r="AD110" s="1526">
        <f>Paramètres!BX67</f>
        <v>2.5</v>
      </c>
      <c r="AE110" s="1821">
        <f>AB110*Saisie_Bilan!$C110</f>
        <v>0</v>
      </c>
      <c r="AF110" s="1821">
        <f>AC110*Saisie_Bilan!$C110</f>
        <v>0</v>
      </c>
      <c r="AG110" s="1821">
        <f>AD110*Saisie_Bilan!$C110</f>
        <v>0</v>
      </c>
    </row>
    <row r="111" spans="1:33" x14ac:dyDescent="0.2">
      <c r="A111" s="1976"/>
      <c r="B111" s="1979" t="s">
        <v>1886</v>
      </c>
      <c r="C111" s="1988"/>
      <c r="D111" s="1957" t="s">
        <v>801</v>
      </c>
      <c r="E111" s="1944"/>
      <c r="F111" s="1944"/>
      <c r="G111" s="1944"/>
      <c r="H111" s="1944"/>
      <c r="I111" s="1944"/>
      <c r="AA111" s="1337" t="str">
        <f>Saisie_Bilan!B111</f>
        <v xml:space="preserve"> - Porcins</v>
      </c>
      <c r="AB111" s="1526">
        <f>Paramètres!BV68</f>
        <v>25.5</v>
      </c>
      <c r="AC111" s="1526">
        <f>Paramètres!BW68</f>
        <v>12.137</v>
      </c>
      <c r="AD111" s="1526">
        <f>Paramètres!BX68</f>
        <v>2.52</v>
      </c>
      <c r="AE111" s="1821">
        <f>AB111*Saisie_Bilan!$C111</f>
        <v>0</v>
      </c>
      <c r="AF111" s="1821">
        <f>AC111*Saisie_Bilan!$C111</f>
        <v>0</v>
      </c>
      <c r="AG111" s="1821">
        <f>AD111*Saisie_Bilan!$C111</f>
        <v>0</v>
      </c>
    </row>
    <row r="112" spans="1:33" x14ac:dyDescent="0.2">
      <c r="A112" s="1976"/>
      <c r="B112" s="1978" t="s">
        <v>1887</v>
      </c>
      <c r="C112" s="1988"/>
      <c r="D112" s="1957" t="s">
        <v>801</v>
      </c>
      <c r="E112" s="1944"/>
      <c r="F112" s="1944"/>
      <c r="G112" s="1944"/>
      <c r="H112" s="1944"/>
      <c r="I112" s="1944"/>
      <c r="AA112" s="1337" t="str">
        <f>Saisie_Bilan!B112</f>
        <v xml:space="preserve"> - Ovins</v>
      </c>
      <c r="AB112" s="1526">
        <f>Paramètres!BV69</f>
        <v>28.5</v>
      </c>
      <c r="AC112" s="1526">
        <f>Paramètres!BW69</f>
        <v>16</v>
      </c>
      <c r="AD112" s="1526">
        <f>Paramètres!BX69</f>
        <v>2.5</v>
      </c>
      <c r="AE112" s="1821">
        <f>AB112*Saisie_Bilan!$C112</f>
        <v>0</v>
      </c>
      <c r="AF112" s="1821">
        <f>AC112*Saisie_Bilan!$C112</f>
        <v>0</v>
      </c>
      <c r="AG112" s="1821">
        <f>AD112*Saisie_Bilan!$C112</f>
        <v>0</v>
      </c>
    </row>
    <row r="113" spans="1:38" x14ac:dyDescent="0.2">
      <c r="A113" s="1976"/>
      <c r="B113" s="1978" t="s">
        <v>1888</v>
      </c>
      <c r="C113" s="1988"/>
      <c r="D113" s="1957" t="s">
        <v>801</v>
      </c>
      <c r="E113" s="1944"/>
      <c r="F113" s="1944"/>
      <c r="G113" s="1944"/>
      <c r="H113" s="1944"/>
      <c r="I113" s="1944"/>
      <c r="AA113" s="1337" t="str">
        <f>Saisie_Bilan!B113</f>
        <v xml:space="preserve"> - Caprins</v>
      </c>
      <c r="AB113" s="1526">
        <f>Paramètres!BV70</f>
        <v>28.5</v>
      </c>
      <c r="AC113" s="1526">
        <f>Paramètres!BW70</f>
        <v>16</v>
      </c>
      <c r="AD113" s="1526">
        <f>Paramètres!BX70</f>
        <v>2.5</v>
      </c>
      <c r="AE113" s="1821">
        <f>AB113*Saisie_Bilan!$C113</f>
        <v>0</v>
      </c>
      <c r="AF113" s="1821">
        <f>AC113*Saisie_Bilan!$C113</f>
        <v>0</v>
      </c>
      <c r="AG113" s="1821">
        <f>AD113*Saisie_Bilan!$C113</f>
        <v>0</v>
      </c>
    </row>
    <row r="114" spans="1:38" x14ac:dyDescent="0.2">
      <c r="A114" s="1976"/>
      <c r="B114" s="1978" t="s">
        <v>1889</v>
      </c>
      <c r="C114" s="1988"/>
      <c r="D114" s="1957" t="s">
        <v>801</v>
      </c>
      <c r="E114" s="1944"/>
      <c r="F114" s="1944"/>
      <c r="G114" s="1944"/>
      <c r="H114" s="1944"/>
      <c r="I114" s="1944"/>
      <c r="AA114" s="1337" t="str">
        <f>Saisie_Bilan!B114</f>
        <v xml:space="preserve"> - Volailles</v>
      </c>
      <c r="AB114" s="1526">
        <f>Paramètres!BV71</f>
        <v>30</v>
      </c>
      <c r="AC114" s="1526">
        <f>Paramètres!BW71</f>
        <v>11.45</v>
      </c>
      <c r="AD114" s="1526">
        <f>Paramètres!BX71</f>
        <v>2.4</v>
      </c>
      <c r="AE114" s="1821">
        <f>AB114*Saisie_Bilan!$C114</f>
        <v>0</v>
      </c>
      <c r="AF114" s="1821">
        <f>AC114*Saisie_Bilan!$C114</f>
        <v>0</v>
      </c>
      <c r="AG114" s="1821">
        <f>AD114*Saisie_Bilan!$C114</f>
        <v>0</v>
      </c>
    </row>
    <row r="115" spans="1:38" x14ac:dyDescent="0.2">
      <c r="A115" s="1976"/>
      <c r="B115" s="1978" t="s">
        <v>1947</v>
      </c>
      <c r="C115" s="1988"/>
      <c r="D115" s="1957" t="s">
        <v>801</v>
      </c>
      <c r="E115" s="1944"/>
      <c r="F115" s="1944"/>
      <c r="G115" s="1944"/>
      <c r="H115" s="1944"/>
      <c r="I115" s="1944"/>
      <c r="AA115" s="1337" t="str">
        <f>Saisie_Bilan!B115</f>
        <v xml:space="preserve"> - Lapins</v>
      </c>
      <c r="AB115" s="1526">
        <f>Paramètres!BV72</f>
        <v>29</v>
      </c>
      <c r="AC115" s="1526">
        <f>Paramètres!BW72</f>
        <v>13.282</v>
      </c>
      <c r="AD115" s="1526">
        <f>Paramètres!BX72</f>
        <v>5.3999999999999995</v>
      </c>
      <c r="AE115" s="1821">
        <f>AB115*Saisie_Bilan!$C115</f>
        <v>0</v>
      </c>
      <c r="AF115" s="1821">
        <f>AC115*Saisie_Bilan!$C115</f>
        <v>0</v>
      </c>
      <c r="AG115" s="1821">
        <f>AD115*Saisie_Bilan!$C115</f>
        <v>0</v>
      </c>
    </row>
    <row r="116" spans="1:38" x14ac:dyDescent="0.2">
      <c r="A116" s="1976"/>
      <c r="B116" s="1979" t="s">
        <v>1892</v>
      </c>
      <c r="C116" s="1944"/>
      <c r="D116" s="1944"/>
      <c r="E116" s="1944"/>
      <c r="F116" s="1944"/>
      <c r="G116" s="1944"/>
      <c r="H116" s="1944"/>
      <c r="I116" s="1944"/>
    </row>
    <row r="117" spans="1:38" x14ac:dyDescent="0.2">
      <c r="A117" s="1944"/>
      <c r="B117" s="1944"/>
      <c r="C117" s="1944"/>
      <c r="D117" s="1944"/>
      <c r="E117" s="1944"/>
      <c r="F117" s="1944"/>
      <c r="G117" s="1944"/>
      <c r="H117" s="1944"/>
      <c r="I117" s="1944"/>
    </row>
    <row r="118" spans="1:38" x14ac:dyDescent="0.2">
      <c r="A118" s="1944"/>
      <c r="B118" s="1956" t="s">
        <v>1880</v>
      </c>
      <c r="C118" s="3406" t="s">
        <v>1881</v>
      </c>
      <c r="D118" s="3407"/>
      <c r="E118" s="1944"/>
      <c r="F118" s="1944"/>
      <c r="G118" s="1944"/>
      <c r="H118" s="1944"/>
      <c r="I118" s="1944"/>
      <c r="AH118" s="1521" t="s">
        <v>1881</v>
      </c>
      <c r="AI118" s="1369">
        <v>12</v>
      </c>
      <c r="AK118" s="1521" t="s">
        <v>2295</v>
      </c>
      <c r="AL118" s="1369">
        <v>10</v>
      </c>
    </row>
    <row r="119" spans="1:38" x14ac:dyDescent="0.2">
      <c r="A119" s="1944"/>
      <c r="B119" s="1956"/>
      <c r="C119" s="1956"/>
      <c r="D119" s="1956"/>
      <c r="E119" s="1944"/>
      <c r="F119" s="1944"/>
      <c r="G119" s="1944"/>
      <c r="H119" s="1944"/>
      <c r="I119" s="1944"/>
      <c r="AH119" s="1521" t="s">
        <v>1882</v>
      </c>
      <c r="AI119" s="1369">
        <v>18</v>
      </c>
      <c r="AK119" s="1521" t="s">
        <v>2296</v>
      </c>
      <c r="AL119" s="1369">
        <v>20</v>
      </c>
    </row>
    <row r="120" spans="1:38" ht="24.95" customHeight="1" x14ac:dyDescent="0.2">
      <c r="A120" s="1944"/>
      <c r="B120" s="2076" t="s">
        <v>2146</v>
      </c>
      <c r="C120" s="3406" t="s">
        <v>2295</v>
      </c>
      <c r="D120" s="3407"/>
      <c r="E120" s="1944"/>
      <c r="F120" s="1944"/>
      <c r="G120" s="1944"/>
      <c r="H120" s="1944"/>
      <c r="I120" s="1944"/>
      <c r="AH120" s="1521" t="s">
        <v>1883</v>
      </c>
      <c r="AI120" s="1369">
        <v>25</v>
      </c>
      <c r="AK120" s="1521" t="s">
        <v>2297</v>
      </c>
      <c r="AL120" s="1369">
        <v>35</v>
      </c>
    </row>
    <row r="121" spans="1:38" x14ac:dyDescent="0.2">
      <c r="A121" s="1944"/>
      <c r="B121" s="1944"/>
      <c r="C121" s="1944"/>
      <c r="D121" s="1944"/>
      <c r="E121" s="1944"/>
      <c r="F121" s="1944"/>
      <c r="G121" s="1944"/>
      <c r="H121" s="1944"/>
      <c r="I121" s="1944"/>
      <c r="AE121" s="3152" t="s">
        <v>1835</v>
      </c>
      <c r="AF121" s="3152"/>
      <c r="AG121" s="3152"/>
    </row>
    <row r="122" spans="1:38" x14ac:dyDescent="0.2">
      <c r="A122" s="1944"/>
      <c r="B122" s="1956" t="s">
        <v>1931</v>
      </c>
      <c r="C122" s="1944"/>
      <c r="D122" s="1944"/>
      <c r="E122" s="1944"/>
      <c r="F122" s="1944"/>
      <c r="G122" s="1944"/>
      <c r="H122" s="1944"/>
      <c r="I122" s="1944"/>
      <c r="AA122" s="1525" t="s">
        <v>1910</v>
      </c>
      <c r="AB122" s="1951" t="s">
        <v>625</v>
      </c>
      <c r="AC122" s="1951" t="s">
        <v>187</v>
      </c>
      <c r="AD122" s="1951" t="s">
        <v>665</v>
      </c>
      <c r="AE122" s="1964" t="s">
        <v>625</v>
      </c>
      <c r="AF122" s="1964" t="s">
        <v>187</v>
      </c>
      <c r="AG122" s="1964" t="s">
        <v>665</v>
      </c>
    </row>
    <row r="123" spans="1:38" x14ac:dyDescent="0.2">
      <c r="A123" s="1944"/>
      <c r="B123" s="1958" t="s">
        <v>1918</v>
      </c>
      <c r="C123" s="1988">
        <v>10</v>
      </c>
      <c r="D123" s="1957" t="s">
        <v>801</v>
      </c>
      <c r="E123" s="1944"/>
      <c r="F123" s="1944"/>
      <c r="G123" s="1944"/>
      <c r="H123" s="1944"/>
      <c r="I123" s="1944"/>
      <c r="AA123" s="1370" t="str">
        <f>B123</f>
        <v>- Foin de graminées</v>
      </c>
      <c r="AB123" s="1526">
        <f>Paramètres!BV75</f>
        <v>15</v>
      </c>
      <c r="AC123" s="1526">
        <f>Paramètres!BW75</f>
        <v>7</v>
      </c>
      <c r="AD123" s="1526">
        <f>Paramètres!BX75</f>
        <v>20</v>
      </c>
      <c r="AE123" s="1821">
        <f>AB123*Saisie_Bilan!$C123</f>
        <v>150</v>
      </c>
      <c r="AF123" s="1821">
        <f>AC123*Saisie_Bilan!$C123</f>
        <v>70</v>
      </c>
      <c r="AG123" s="1821">
        <f>AD123*Saisie_Bilan!$C123</f>
        <v>200</v>
      </c>
    </row>
    <row r="124" spans="1:38" x14ac:dyDescent="0.2">
      <c r="A124" s="1944"/>
      <c r="B124" s="1958" t="s">
        <v>1919</v>
      </c>
      <c r="C124" s="1988"/>
      <c r="D124" s="1957" t="s">
        <v>801</v>
      </c>
      <c r="E124" s="1944"/>
      <c r="F124" s="1944"/>
      <c r="G124" s="1944"/>
      <c r="H124" s="1944"/>
      <c r="I124" s="1944"/>
      <c r="AA124" s="1370" t="str">
        <f t="shared" ref="AA124:AA134" si="0">B124</f>
        <v>- Foin de légumineuses</v>
      </c>
      <c r="AB124" s="1526">
        <f>Paramètres!BV76</f>
        <v>28</v>
      </c>
      <c r="AC124" s="1526">
        <f>Paramètres!BW76</f>
        <v>7.5</v>
      </c>
      <c r="AD124" s="1526">
        <f>Paramètres!BX76</f>
        <v>30</v>
      </c>
      <c r="AE124" s="1821">
        <f>AB124*Saisie_Bilan!$C124</f>
        <v>0</v>
      </c>
      <c r="AF124" s="1821">
        <f>AC124*Saisie_Bilan!$C124</f>
        <v>0</v>
      </c>
      <c r="AG124" s="1821">
        <f>AD124*Saisie_Bilan!$C124</f>
        <v>0</v>
      </c>
    </row>
    <row r="125" spans="1:38" x14ac:dyDescent="0.2">
      <c r="A125" s="1944"/>
      <c r="B125" s="1958" t="s">
        <v>1920</v>
      </c>
      <c r="C125" s="1988"/>
      <c r="D125" s="1957" t="s">
        <v>801</v>
      </c>
      <c r="E125" s="1944"/>
      <c r="F125" s="1944"/>
      <c r="G125" s="1944"/>
      <c r="H125" s="1944"/>
      <c r="I125" s="1944"/>
      <c r="AA125" s="1370" t="str">
        <f t="shared" si="0"/>
        <v>- Foin d'association</v>
      </c>
      <c r="AB125" s="1526">
        <f>Paramètres!BV77</f>
        <v>18</v>
      </c>
      <c r="AC125" s="1526">
        <f>Paramètres!BW77</f>
        <v>6</v>
      </c>
      <c r="AD125" s="1526">
        <f>Paramètres!BX77</f>
        <v>30</v>
      </c>
      <c r="AE125" s="1821">
        <f>AB125*Saisie_Bilan!$C125</f>
        <v>0</v>
      </c>
      <c r="AF125" s="1821">
        <f>AC125*Saisie_Bilan!$C125</f>
        <v>0</v>
      </c>
      <c r="AG125" s="1821">
        <f>AD125*Saisie_Bilan!$C125</f>
        <v>0</v>
      </c>
    </row>
    <row r="126" spans="1:38" x14ac:dyDescent="0.2">
      <c r="A126" s="1944"/>
      <c r="B126" s="1958" t="s">
        <v>1929</v>
      </c>
      <c r="C126" s="1988"/>
      <c r="D126" s="1957" t="s">
        <v>801</v>
      </c>
      <c r="E126" s="1944"/>
      <c r="F126" s="1944"/>
      <c r="G126" s="1944"/>
      <c r="H126" s="1944"/>
      <c r="I126" s="1944"/>
      <c r="AA126" s="1370" t="str">
        <f t="shared" si="0"/>
        <v>- Ensilage de maïs ou de sorgho</v>
      </c>
      <c r="AB126" s="1526">
        <f>Paramètres!BV78</f>
        <v>12</v>
      </c>
      <c r="AC126" s="1526">
        <f>Paramètres!BW78</f>
        <v>4.2</v>
      </c>
      <c r="AD126" s="1526">
        <f>Paramètres!BX78</f>
        <v>12</v>
      </c>
      <c r="AE126" s="1821">
        <f>AB126*Saisie_Bilan!$C126</f>
        <v>0</v>
      </c>
      <c r="AF126" s="1821">
        <f>AC126*Saisie_Bilan!$C126</f>
        <v>0</v>
      </c>
      <c r="AG126" s="1821">
        <f>AD126*Saisie_Bilan!$C126</f>
        <v>0</v>
      </c>
    </row>
    <row r="127" spans="1:38" x14ac:dyDescent="0.2">
      <c r="A127" s="1944"/>
      <c r="B127" s="1958" t="s">
        <v>1921</v>
      </c>
      <c r="C127" s="1988"/>
      <c r="D127" s="1957" t="s">
        <v>801</v>
      </c>
      <c r="E127" s="1944"/>
      <c r="F127" s="1944"/>
      <c r="G127" s="1944"/>
      <c r="H127" s="1944"/>
      <c r="I127" s="1944"/>
      <c r="AA127" s="1370" t="str">
        <f t="shared" si="0"/>
        <v>- Ensilage de graminées</v>
      </c>
      <c r="AB127" s="1526">
        <f>Paramètres!BV79</f>
        <v>16</v>
      </c>
      <c r="AC127" s="1526">
        <f>Paramètres!BW79</f>
        <v>7</v>
      </c>
      <c r="AD127" s="1526">
        <f>Paramètres!BX79</f>
        <v>25</v>
      </c>
      <c r="AE127" s="1821">
        <f>AB127*Saisie_Bilan!$C127</f>
        <v>0</v>
      </c>
      <c r="AF127" s="1821">
        <f>AC127*Saisie_Bilan!$C127</f>
        <v>0</v>
      </c>
      <c r="AG127" s="1821">
        <f>AD127*Saisie_Bilan!$C127</f>
        <v>0</v>
      </c>
    </row>
    <row r="128" spans="1:38" x14ac:dyDescent="0.2">
      <c r="A128" s="1944"/>
      <c r="B128" s="1958" t="s">
        <v>1922</v>
      </c>
      <c r="C128" s="1988"/>
      <c r="D128" s="1957" t="s">
        <v>801</v>
      </c>
      <c r="E128" s="1944"/>
      <c r="F128" s="1944"/>
      <c r="G128" s="1944"/>
      <c r="H128" s="1944"/>
      <c r="I128" s="1944"/>
      <c r="AA128" s="1370" t="str">
        <f t="shared" si="0"/>
        <v>- Ensilage de légumineuses</v>
      </c>
      <c r="AB128" s="1526">
        <f>Paramètres!BV80</f>
        <v>30</v>
      </c>
      <c r="AC128" s="1526">
        <f>Paramètres!BW80</f>
        <v>6</v>
      </c>
      <c r="AD128" s="1526">
        <f>Paramètres!BX80</f>
        <v>30</v>
      </c>
      <c r="AE128" s="1821">
        <f>AB128*Saisie_Bilan!$C128</f>
        <v>0</v>
      </c>
      <c r="AF128" s="1821">
        <f>AC128*Saisie_Bilan!$C128</f>
        <v>0</v>
      </c>
      <c r="AG128" s="1821">
        <f>AD128*Saisie_Bilan!$C128</f>
        <v>0</v>
      </c>
    </row>
    <row r="129" spans="1:38" x14ac:dyDescent="0.2">
      <c r="A129" s="1944"/>
      <c r="B129" s="1958" t="s">
        <v>1923</v>
      </c>
      <c r="C129" s="1988"/>
      <c r="D129" s="1957" t="s">
        <v>801</v>
      </c>
      <c r="E129" s="1944"/>
      <c r="F129" s="1944"/>
      <c r="G129" s="1944"/>
      <c r="H129" s="1944"/>
      <c r="I129" s="1944"/>
      <c r="AA129" s="1370" t="str">
        <f t="shared" si="0"/>
        <v>- Ensilage d'association</v>
      </c>
      <c r="AB129" s="1526">
        <f>Paramètres!BV81</f>
        <v>24</v>
      </c>
      <c r="AC129" s="1526">
        <f>Paramètres!BW81</f>
        <v>7</v>
      </c>
      <c r="AD129" s="1526">
        <f>Paramètres!BX81</f>
        <v>35</v>
      </c>
      <c r="AE129" s="1821">
        <f>AB129*Saisie_Bilan!$C129</f>
        <v>0</v>
      </c>
      <c r="AF129" s="1821">
        <f>AC129*Saisie_Bilan!$C129</f>
        <v>0</v>
      </c>
      <c r="AG129" s="1821">
        <f>AD129*Saisie_Bilan!$C129</f>
        <v>0</v>
      </c>
    </row>
    <row r="130" spans="1:38" x14ac:dyDescent="0.2">
      <c r="A130" s="1944"/>
      <c r="B130" s="1958" t="s">
        <v>1924</v>
      </c>
      <c r="C130" s="1988"/>
      <c r="D130" s="1957" t="s">
        <v>801</v>
      </c>
      <c r="E130" s="1944"/>
      <c r="F130" s="1944"/>
      <c r="G130" s="1944"/>
      <c r="H130" s="1944"/>
      <c r="I130" s="1944"/>
      <c r="AA130" s="1370" t="str">
        <f t="shared" si="0"/>
        <v>- Betteraves fourragères</v>
      </c>
      <c r="AB130" s="1526">
        <f>Paramètres!BV82</f>
        <v>2.5</v>
      </c>
      <c r="AC130" s="1526">
        <f>Paramètres!BW82</f>
        <v>0.55000000000000004</v>
      </c>
      <c r="AD130" s="1526">
        <f>Paramètres!BX82</f>
        <v>2</v>
      </c>
      <c r="AE130" s="1821">
        <f>AB130*Saisie_Bilan!$C130</f>
        <v>0</v>
      </c>
      <c r="AF130" s="1821">
        <f>AC130*Saisie_Bilan!$C130</f>
        <v>0</v>
      </c>
      <c r="AG130" s="1821">
        <f>AD130*Saisie_Bilan!$C130</f>
        <v>0</v>
      </c>
    </row>
    <row r="131" spans="1:38" x14ac:dyDescent="0.2">
      <c r="A131" s="1944"/>
      <c r="B131" s="1958" t="s">
        <v>2141</v>
      </c>
      <c r="C131" s="1988"/>
      <c r="D131" s="1957" t="s">
        <v>801</v>
      </c>
      <c r="E131" s="1944"/>
      <c r="F131" s="1944"/>
      <c r="G131" s="1944"/>
      <c r="H131" s="1944"/>
      <c r="I131" s="1944"/>
      <c r="AA131" s="1370" t="str">
        <f t="shared" si="0"/>
        <v>- Luzerne et/ou trèfle violet deshydratés</v>
      </c>
      <c r="AB131" s="1526">
        <f>Paramètres!BV83</f>
        <v>30</v>
      </c>
      <c r="AC131" s="1526">
        <f>Paramètres!BW83</f>
        <v>6</v>
      </c>
      <c r="AD131" s="1526">
        <f>Paramètres!BX83</f>
        <v>30</v>
      </c>
      <c r="AE131" s="1821">
        <f>AB131*Saisie_Bilan!$C131</f>
        <v>0</v>
      </c>
      <c r="AF131" s="1821">
        <f>AC131*Saisie_Bilan!$C131</f>
        <v>0</v>
      </c>
      <c r="AG131" s="1821">
        <f>AD131*Saisie_Bilan!$C131</f>
        <v>0</v>
      </c>
    </row>
    <row r="132" spans="1:38" x14ac:dyDescent="0.2">
      <c r="A132" s="1944"/>
      <c r="B132" s="1958" t="s">
        <v>1927</v>
      </c>
      <c r="C132" s="1988"/>
      <c r="D132" s="1957" t="s">
        <v>801</v>
      </c>
      <c r="E132" s="1944"/>
      <c r="F132" s="1944"/>
      <c r="G132" s="1944"/>
      <c r="H132" s="1944"/>
      <c r="I132" s="1944"/>
      <c r="AA132" s="1370" t="str">
        <f t="shared" si="0"/>
        <v>- Maïs deshydraté</v>
      </c>
      <c r="AB132" s="1526">
        <f>Paramètres!BV84</f>
        <v>12</v>
      </c>
      <c r="AC132" s="1526">
        <f>Paramètres!BW84</f>
        <v>5</v>
      </c>
      <c r="AD132" s="1526">
        <f>Paramètres!BX84</f>
        <v>11</v>
      </c>
      <c r="AE132" s="1821">
        <f>AB132*Saisie_Bilan!$C132</f>
        <v>0</v>
      </c>
      <c r="AF132" s="1821">
        <f>AC132*Saisie_Bilan!$C132</f>
        <v>0</v>
      </c>
      <c r="AG132" s="1821">
        <f>AD132*Saisie_Bilan!$C132</f>
        <v>0</v>
      </c>
    </row>
    <row r="133" spans="1:38" x14ac:dyDescent="0.2">
      <c r="A133" s="1944"/>
      <c r="B133" s="1958" t="s">
        <v>1926</v>
      </c>
      <c r="C133" s="1988"/>
      <c r="D133" s="1957" t="s">
        <v>801</v>
      </c>
      <c r="E133" s="1944"/>
      <c r="F133" s="1944"/>
      <c r="G133" s="1944"/>
      <c r="H133" s="1944"/>
      <c r="I133" s="1944"/>
      <c r="AA133" s="1370" t="str">
        <f t="shared" si="0"/>
        <v>- Graminées deshydratées</v>
      </c>
      <c r="AB133" s="1526">
        <f>Paramètres!BV85</f>
        <v>26</v>
      </c>
      <c r="AC133" s="1526">
        <f>Paramètres!BW85</f>
        <v>7</v>
      </c>
      <c r="AD133" s="1526">
        <f>Paramètres!BX85</f>
        <v>25</v>
      </c>
      <c r="AE133" s="1821">
        <f>AB133*Saisie_Bilan!$C133</f>
        <v>0</v>
      </c>
      <c r="AF133" s="1821">
        <f>AC133*Saisie_Bilan!$C133</f>
        <v>0</v>
      </c>
      <c r="AG133" s="1821">
        <f>AD133*Saisie_Bilan!$C133</f>
        <v>0</v>
      </c>
    </row>
    <row r="134" spans="1:38" x14ac:dyDescent="0.2">
      <c r="A134" s="1944"/>
      <c r="B134" s="1958" t="s">
        <v>1928</v>
      </c>
      <c r="C134" s="1988"/>
      <c r="D134" s="1957" t="s">
        <v>801</v>
      </c>
      <c r="E134" s="1944"/>
      <c r="F134" s="1944"/>
      <c r="G134" s="1944"/>
      <c r="H134" s="1944"/>
      <c r="I134" s="1944"/>
      <c r="AA134" s="1370" t="str">
        <f t="shared" si="0"/>
        <v>- Pailles</v>
      </c>
      <c r="AB134" s="1526">
        <f>Paramètres!BV86</f>
        <v>5.7</v>
      </c>
      <c r="AC134" s="1526">
        <f>Paramètres!BW86</f>
        <v>2</v>
      </c>
      <c r="AD134" s="1526">
        <f>Paramètres!BX86</f>
        <v>12</v>
      </c>
      <c r="AE134" s="1821">
        <f>AB134*Saisie_Bilan!$C134</f>
        <v>0</v>
      </c>
      <c r="AF134" s="1821">
        <f>AC134*Saisie_Bilan!$C134</f>
        <v>0</v>
      </c>
      <c r="AG134" s="1821">
        <f>AD134*Saisie_Bilan!$C134</f>
        <v>0</v>
      </c>
    </row>
    <row r="135" spans="1:38" x14ac:dyDescent="0.2">
      <c r="A135" s="1944"/>
      <c r="B135" s="1944"/>
      <c r="C135" s="1944"/>
      <c r="D135" s="1944"/>
      <c r="E135" s="1944"/>
      <c r="F135" s="1944"/>
      <c r="G135" s="1944"/>
      <c r="H135" s="1944"/>
      <c r="I135" s="1944"/>
      <c r="AE135" s="3152" t="s">
        <v>1835</v>
      </c>
      <c r="AF135" s="3152"/>
      <c r="AG135" s="3152"/>
      <c r="AI135" s="1337" t="s">
        <v>1968</v>
      </c>
      <c r="AJ135" s="1966" t="s">
        <v>1835</v>
      </c>
      <c r="AK135" s="1966"/>
      <c r="AL135" s="1966"/>
    </row>
    <row r="136" spans="1:38" x14ac:dyDescent="0.2">
      <c r="A136" s="1944"/>
      <c r="B136" s="1956" t="s">
        <v>2148</v>
      </c>
      <c r="C136" s="1944"/>
      <c r="D136" s="1944"/>
      <c r="E136" s="1944"/>
      <c r="F136" s="1944"/>
      <c r="G136" s="1944"/>
      <c r="H136" s="1944"/>
      <c r="I136" s="1944"/>
      <c r="AE136" s="1964" t="s">
        <v>625</v>
      </c>
      <c r="AF136" s="1964" t="s">
        <v>187</v>
      </c>
      <c r="AG136" s="1964" t="s">
        <v>665</v>
      </c>
      <c r="AH136" s="1964" t="s">
        <v>1967</v>
      </c>
      <c r="AI136" s="1964" t="s">
        <v>1969</v>
      </c>
      <c r="AJ136" s="1964" t="s">
        <v>625</v>
      </c>
      <c r="AK136" s="1964" t="s">
        <v>187</v>
      </c>
      <c r="AL136" s="1964" t="s">
        <v>665</v>
      </c>
    </row>
    <row r="137" spans="1:38" ht="12.75" customHeight="1" x14ac:dyDescent="0.2">
      <c r="A137" s="1944"/>
      <c r="B137" s="1958" t="s">
        <v>1932</v>
      </c>
      <c r="C137" s="1988">
        <v>365</v>
      </c>
      <c r="D137" s="1957" t="s">
        <v>801</v>
      </c>
      <c r="E137" s="3408" t="s">
        <v>2147</v>
      </c>
      <c r="F137" s="3408"/>
      <c r="G137" s="3408"/>
      <c r="H137" s="3409">
        <v>24</v>
      </c>
      <c r="I137" s="1944"/>
      <c r="AA137" s="1337" t="str">
        <f>B137</f>
        <v>- Lait</v>
      </c>
      <c r="AB137" s="1526">
        <f>Paramètres!BV89</f>
        <v>5.0999999999999996</v>
      </c>
      <c r="AC137" s="1526">
        <f>Paramètres!BW89</f>
        <v>2.1</v>
      </c>
      <c r="AD137" s="1526">
        <f>Paramètres!BX89</f>
        <v>1.8</v>
      </c>
      <c r="AE137" s="1821">
        <f>AB137*Saisie_Bilan!$C137</f>
        <v>1861.4999999999998</v>
      </c>
      <c r="AF137" s="1821">
        <f>AC137*Saisie_Bilan!$C137</f>
        <v>766.5</v>
      </c>
      <c r="AG137" s="1821">
        <f>AD137*Saisie_Bilan!$C137</f>
        <v>657</v>
      </c>
      <c r="AH137" s="2137"/>
      <c r="AI137" s="2140">
        <v>1.03</v>
      </c>
      <c r="AJ137" s="1821">
        <f>$AI137*AE137</f>
        <v>1917.3449999999998</v>
      </c>
      <c r="AK137" s="1821">
        <f>$AI137*AF137</f>
        <v>789.495</v>
      </c>
      <c r="AL137" s="1821">
        <f>$AI137*AG137</f>
        <v>676.71</v>
      </c>
    </row>
    <row r="138" spans="1:38" x14ac:dyDescent="0.2">
      <c r="A138" s="1944"/>
      <c r="B138" s="1958" t="s">
        <v>1949</v>
      </c>
      <c r="C138" s="1988">
        <v>17</v>
      </c>
      <c r="D138" s="1957" t="s">
        <v>1948</v>
      </c>
      <c r="E138" s="3408"/>
      <c r="F138" s="3408"/>
      <c r="G138" s="3408"/>
      <c r="H138" s="3410"/>
      <c r="I138" s="1944"/>
      <c r="AA138" s="1337" t="str">
        <f t="shared" ref="AA138:AA152" si="1">B138</f>
        <v>- Bovins **</v>
      </c>
      <c r="AB138" s="1526">
        <f>Paramètres!BV90</f>
        <v>24</v>
      </c>
      <c r="AC138" s="1526">
        <f>Paramètres!BW90</f>
        <v>16</v>
      </c>
      <c r="AD138" s="1526">
        <f>Paramètres!BX90</f>
        <v>2.5</v>
      </c>
      <c r="AE138" s="1821">
        <f>AB138*Saisie_Bilan!$C138</f>
        <v>408</v>
      </c>
      <c r="AF138" s="1821">
        <f>AC138*Saisie_Bilan!$C138</f>
        <v>272</v>
      </c>
      <c r="AG138" s="1821">
        <f>AD138*Saisie_Bilan!$C138</f>
        <v>42.5</v>
      </c>
      <c r="AH138" s="1526">
        <f>Paramètres!BY90</f>
        <v>4</v>
      </c>
      <c r="AI138" s="1985">
        <f t="shared" ref="AI138:AI152" si="2">1+0.005*AH138</f>
        <v>1.02</v>
      </c>
      <c r="AJ138" s="1821">
        <f>$AI138*AE138</f>
        <v>416.16</v>
      </c>
      <c r="AK138" s="1821">
        <f t="shared" ref="AK138:AK152" si="3">$AI138*AF138</f>
        <v>277.44</v>
      </c>
      <c r="AL138" s="1821">
        <f t="shared" ref="AL138:AL152" si="4">$AI138*AG138</f>
        <v>43.35</v>
      </c>
    </row>
    <row r="139" spans="1:38" x14ac:dyDescent="0.2">
      <c r="A139" s="1944"/>
      <c r="B139" s="1958" t="s">
        <v>1950</v>
      </c>
      <c r="C139" s="1988"/>
      <c r="D139" s="1957" t="s">
        <v>1948</v>
      </c>
      <c r="E139" s="3408"/>
      <c r="F139" s="3408"/>
      <c r="G139" s="3408"/>
      <c r="H139" s="3411"/>
      <c r="I139" s="1944"/>
      <c r="AA139" s="1337" t="str">
        <f t="shared" si="1"/>
        <v>- Porcins</v>
      </c>
      <c r="AB139" s="1526">
        <f>Paramètres!BV91</f>
        <v>25.6</v>
      </c>
      <c r="AC139" s="1526">
        <f>Paramètres!BW91</f>
        <v>12.1</v>
      </c>
      <c r="AD139" s="1526">
        <f>Paramètres!BX91</f>
        <v>2.57</v>
      </c>
      <c r="AE139" s="1821">
        <f>AB139*Saisie_Bilan!$C139</f>
        <v>0</v>
      </c>
      <c r="AF139" s="1821">
        <f>AC139*Saisie_Bilan!$C139</f>
        <v>0</v>
      </c>
      <c r="AG139" s="1821">
        <f>AD139*Saisie_Bilan!$C139</f>
        <v>0</v>
      </c>
      <c r="AH139" s="1526">
        <f>Paramètres!BY91</f>
        <v>6</v>
      </c>
      <c r="AI139" s="1985">
        <f t="shared" si="2"/>
        <v>1.03</v>
      </c>
      <c r="AJ139" s="1821">
        <f t="shared" ref="AJ139:AJ152" si="5">$AI139*AE139</f>
        <v>0</v>
      </c>
      <c r="AK139" s="1821">
        <f t="shared" si="3"/>
        <v>0</v>
      </c>
      <c r="AL139" s="1821">
        <f t="shared" si="4"/>
        <v>0</v>
      </c>
    </row>
    <row r="140" spans="1:38" x14ac:dyDescent="0.2">
      <c r="A140" s="1944"/>
      <c r="B140" s="1958" t="s">
        <v>1972</v>
      </c>
      <c r="C140" s="1988"/>
      <c r="D140" s="1957" t="s">
        <v>1948</v>
      </c>
      <c r="E140" s="1957"/>
      <c r="F140" s="1944"/>
      <c r="G140" s="1944"/>
      <c r="H140" s="1944"/>
      <c r="I140" s="1944"/>
      <c r="AA140" s="1337" t="str">
        <f t="shared" si="1"/>
        <v>- Poulets</v>
      </c>
      <c r="AB140" s="1526">
        <f>Paramètres!BV92</f>
        <v>28.96</v>
      </c>
      <c r="AC140" s="1526">
        <f>Paramètres!BW92</f>
        <v>13.3</v>
      </c>
      <c r="AD140" s="1526">
        <f>Paramètres!BX92</f>
        <v>2.4</v>
      </c>
      <c r="AE140" s="1821">
        <f>AB140*Saisie_Bilan!$C140</f>
        <v>0</v>
      </c>
      <c r="AF140" s="1821">
        <f>AC140*Saisie_Bilan!$C140</f>
        <v>0</v>
      </c>
      <c r="AG140" s="1821">
        <f>AD140*Saisie_Bilan!$C140</f>
        <v>0</v>
      </c>
      <c r="AH140" s="1526">
        <f>Paramètres!BY92</f>
        <v>4.5</v>
      </c>
      <c r="AI140" s="1985">
        <f t="shared" si="2"/>
        <v>1.0225</v>
      </c>
      <c r="AJ140" s="1821">
        <f t="shared" si="5"/>
        <v>0</v>
      </c>
      <c r="AK140" s="1821">
        <f t="shared" si="3"/>
        <v>0</v>
      </c>
      <c r="AL140" s="1821">
        <f t="shared" si="4"/>
        <v>0</v>
      </c>
    </row>
    <row r="141" spans="1:38" x14ac:dyDescent="0.2">
      <c r="A141" s="1944"/>
      <c r="B141" s="1958" t="s">
        <v>1973</v>
      </c>
      <c r="C141" s="1988"/>
      <c r="D141" s="1957" t="s">
        <v>1948</v>
      </c>
      <c r="E141" s="1944"/>
      <c r="F141" s="1944"/>
      <c r="G141" s="1944"/>
      <c r="H141" s="1944"/>
      <c r="I141" s="1944"/>
      <c r="AA141" s="1337" t="str">
        <f t="shared" si="1"/>
        <v>- Chapons</v>
      </c>
      <c r="AB141" s="1526">
        <f>Paramètres!BV93</f>
        <v>28.96</v>
      </c>
      <c r="AC141" s="1526">
        <f>Paramètres!BW93</f>
        <v>13.3</v>
      </c>
      <c r="AD141" s="1526">
        <f>Paramètres!BX93</f>
        <v>2.4</v>
      </c>
      <c r="AE141" s="1821">
        <f>AB141*Saisie_Bilan!$C141</f>
        <v>0</v>
      </c>
      <c r="AF141" s="1821">
        <f>AC141*Saisie_Bilan!$C141</f>
        <v>0</v>
      </c>
      <c r="AG141" s="1821">
        <f>AD141*Saisie_Bilan!$C141</f>
        <v>0</v>
      </c>
      <c r="AH141" s="1526">
        <f>Paramètres!BY93</f>
        <v>10</v>
      </c>
      <c r="AI141" s="1985">
        <f t="shared" si="2"/>
        <v>1.05</v>
      </c>
      <c r="AJ141" s="1821">
        <f t="shared" si="5"/>
        <v>0</v>
      </c>
      <c r="AK141" s="1821">
        <f t="shared" si="3"/>
        <v>0</v>
      </c>
      <c r="AL141" s="1821">
        <f t="shared" si="4"/>
        <v>0</v>
      </c>
    </row>
    <row r="142" spans="1:38" x14ac:dyDescent="0.2">
      <c r="A142" s="1944"/>
      <c r="B142" s="1958" t="s">
        <v>1974</v>
      </c>
      <c r="C142" s="1988"/>
      <c r="D142" s="1957" t="s">
        <v>1948</v>
      </c>
      <c r="E142" s="1944"/>
      <c r="F142" s="1944"/>
      <c r="G142" s="1944"/>
      <c r="H142" s="1944"/>
      <c r="I142" s="1944"/>
      <c r="AA142" s="1337" t="str">
        <f t="shared" si="1"/>
        <v>- Poulettes</v>
      </c>
      <c r="AB142" s="1526">
        <f>Paramètres!BV94</f>
        <v>28.96</v>
      </c>
      <c r="AC142" s="1526">
        <f>Paramètres!BW94</f>
        <v>13.3</v>
      </c>
      <c r="AD142" s="1526">
        <f>Paramètres!BX94</f>
        <v>2.4</v>
      </c>
      <c r="AE142" s="1821">
        <f>AB142*Saisie_Bilan!$C142</f>
        <v>0</v>
      </c>
      <c r="AF142" s="1821">
        <f>AC142*Saisie_Bilan!$C142</f>
        <v>0</v>
      </c>
      <c r="AG142" s="1821">
        <f>AD142*Saisie_Bilan!$C142</f>
        <v>0</v>
      </c>
      <c r="AH142" s="1526">
        <f>Paramètres!BY94</f>
        <v>3</v>
      </c>
      <c r="AI142" s="1985">
        <f t="shared" si="2"/>
        <v>1.0149999999999999</v>
      </c>
      <c r="AJ142" s="1821">
        <f t="shared" si="5"/>
        <v>0</v>
      </c>
      <c r="AK142" s="1821">
        <f t="shared" si="3"/>
        <v>0</v>
      </c>
      <c r="AL142" s="1821">
        <f t="shared" si="4"/>
        <v>0</v>
      </c>
    </row>
    <row r="143" spans="1:38" x14ac:dyDescent="0.2">
      <c r="A143" s="1944"/>
      <c r="B143" s="1958" t="s">
        <v>1951</v>
      </c>
      <c r="C143" s="1988"/>
      <c r="D143" s="1957" t="s">
        <v>1948</v>
      </c>
      <c r="E143" s="1944"/>
      <c r="F143" s="1944"/>
      <c r="G143" s="1944"/>
      <c r="H143" s="1944"/>
      <c r="I143" s="1944"/>
      <c r="AA143" s="1337" t="str">
        <f t="shared" si="1"/>
        <v>- Poules de réforme</v>
      </c>
      <c r="AB143" s="1526">
        <f>Paramètres!BV95</f>
        <v>32</v>
      </c>
      <c r="AC143" s="1526">
        <f>Paramètres!BW95</f>
        <v>11</v>
      </c>
      <c r="AD143" s="1526">
        <f>Paramètres!BX95</f>
        <v>2.4</v>
      </c>
      <c r="AE143" s="1821">
        <f>AB143*Saisie_Bilan!$C143</f>
        <v>0</v>
      </c>
      <c r="AF143" s="1821">
        <f>AC143*Saisie_Bilan!$C143</f>
        <v>0</v>
      </c>
      <c r="AG143" s="1821">
        <f>AD143*Saisie_Bilan!$C143</f>
        <v>0</v>
      </c>
      <c r="AH143" s="1526">
        <f>Paramètres!BY95</f>
        <v>8</v>
      </c>
      <c r="AI143" s="1985">
        <f t="shared" si="2"/>
        <v>1.04</v>
      </c>
      <c r="AJ143" s="1821">
        <f t="shared" si="5"/>
        <v>0</v>
      </c>
      <c r="AK143" s="1821">
        <f t="shared" si="3"/>
        <v>0</v>
      </c>
      <c r="AL143" s="1821">
        <f t="shared" si="4"/>
        <v>0</v>
      </c>
    </row>
    <row r="144" spans="1:38" x14ac:dyDescent="0.2">
      <c r="A144" s="1944"/>
      <c r="B144" s="1958" t="s">
        <v>1952</v>
      </c>
      <c r="C144" s="1988"/>
      <c r="D144" s="1957" t="s">
        <v>1948</v>
      </c>
      <c r="E144" s="1944"/>
      <c r="F144" s="1944"/>
      <c r="G144" s="1944"/>
      <c r="H144" s="1944"/>
      <c r="I144" s="1944"/>
      <c r="AA144" s="1337" t="str">
        <f t="shared" si="1"/>
        <v>- Oies</v>
      </c>
      <c r="AB144" s="1526">
        <f>Paramètres!BV96</f>
        <v>28.8</v>
      </c>
      <c r="AC144" s="1526">
        <f>Paramètres!BW96</f>
        <v>14.4</v>
      </c>
      <c r="AD144" s="1526">
        <f>Paramètres!BX96</f>
        <v>2.4</v>
      </c>
      <c r="AE144" s="1821">
        <f>AB144*Saisie_Bilan!$C144</f>
        <v>0</v>
      </c>
      <c r="AF144" s="1821">
        <f>AC144*Saisie_Bilan!$C144</f>
        <v>0</v>
      </c>
      <c r="AG144" s="1821">
        <f>AD144*Saisie_Bilan!$C144</f>
        <v>0</v>
      </c>
      <c r="AH144" s="1526">
        <f>Paramètres!BY96</f>
        <v>7</v>
      </c>
      <c r="AI144" s="1985">
        <f t="shared" si="2"/>
        <v>1.0349999999999999</v>
      </c>
      <c r="AJ144" s="1821">
        <f t="shared" si="5"/>
        <v>0</v>
      </c>
      <c r="AK144" s="1821">
        <f t="shared" si="3"/>
        <v>0</v>
      </c>
      <c r="AL144" s="1821">
        <f t="shared" si="4"/>
        <v>0</v>
      </c>
    </row>
    <row r="145" spans="1:38" x14ac:dyDescent="0.2">
      <c r="A145" s="1944"/>
      <c r="B145" s="1958" t="s">
        <v>1953</v>
      </c>
      <c r="C145" s="1988"/>
      <c r="D145" s="1957" t="s">
        <v>1948</v>
      </c>
      <c r="E145" s="1944"/>
      <c r="F145" s="1944"/>
      <c r="G145" s="1944"/>
      <c r="H145" s="1944"/>
      <c r="I145" s="1944"/>
      <c r="AA145" s="1337" t="str">
        <f t="shared" si="1"/>
        <v>- Canards mixtes</v>
      </c>
      <c r="AB145" s="1526">
        <f>Paramètres!BV97</f>
        <v>33.6</v>
      </c>
      <c r="AC145" s="1526">
        <f>Paramètres!BW97</f>
        <v>9.8000000000000007</v>
      </c>
      <c r="AD145" s="1526">
        <f>Paramètres!BX97</f>
        <v>2.4</v>
      </c>
      <c r="AE145" s="1821">
        <f>AB145*Saisie_Bilan!$C145</f>
        <v>0</v>
      </c>
      <c r="AF145" s="1821">
        <f>AC145*Saisie_Bilan!$C145</f>
        <v>0</v>
      </c>
      <c r="AG145" s="1821">
        <f>AD145*Saisie_Bilan!$C145</f>
        <v>0</v>
      </c>
      <c r="AH145" s="1526">
        <f>Paramètres!BY97</f>
        <v>4</v>
      </c>
      <c r="AI145" s="1985">
        <f t="shared" si="2"/>
        <v>1.02</v>
      </c>
      <c r="AJ145" s="1821">
        <f t="shared" si="5"/>
        <v>0</v>
      </c>
      <c r="AK145" s="1821">
        <f t="shared" si="3"/>
        <v>0</v>
      </c>
      <c r="AL145" s="1821">
        <f t="shared" si="4"/>
        <v>0</v>
      </c>
    </row>
    <row r="146" spans="1:38" x14ac:dyDescent="0.2">
      <c r="A146" s="1944"/>
      <c r="B146" s="1958" t="s">
        <v>1954</v>
      </c>
      <c r="C146" s="1988"/>
      <c r="D146" s="1957" t="s">
        <v>1948</v>
      </c>
      <c r="E146" s="1944"/>
      <c r="F146" s="1944"/>
      <c r="G146" s="1944"/>
      <c r="H146" s="1944"/>
      <c r="I146" s="1944"/>
      <c r="AA146" s="1337" t="str">
        <f t="shared" si="1"/>
        <v>- Canards</v>
      </c>
      <c r="AB146" s="1526">
        <f>Paramètres!BV98</f>
        <v>28</v>
      </c>
      <c r="AC146" s="1526">
        <f>Paramètres!BW98</f>
        <v>9.8000000000000007</v>
      </c>
      <c r="AD146" s="1526">
        <f>Paramètres!BX98</f>
        <v>2.4</v>
      </c>
      <c r="AE146" s="1821">
        <f>AB146*Saisie_Bilan!$C146</f>
        <v>0</v>
      </c>
      <c r="AF146" s="1821">
        <f>AC146*Saisie_Bilan!$C146</f>
        <v>0</v>
      </c>
      <c r="AG146" s="1821">
        <f>AD146*Saisie_Bilan!$C146</f>
        <v>0</v>
      </c>
      <c r="AH146" s="1526">
        <f>Paramètres!BY98</f>
        <v>4</v>
      </c>
      <c r="AI146" s="1985">
        <f t="shared" si="2"/>
        <v>1.02</v>
      </c>
      <c r="AJ146" s="1821">
        <f t="shared" si="5"/>
        <v>0</v>
      </c>
      <c r="AK146" s="1821">
        <f t="shared" si="3"/>
        <v>0</v>
      </c>
      <c r="AL146" s="1821">
        <f t="shared" si="4"/>
        <v>0</v>
      </c>
    </row>
    <row r="147" spans="1:38" x14ac:dyDescent="0.2">
      <c r="A147" s="1944"/>
      <c r="B147" s="1958" t="s">
        <v>1955</v>
      </c>
      <c r="C147" s="1988"/>
      <c r="D147" s="1957" t="s">
        <v>1948</v>
      </c>
      <c r="E147" s="1944"/>
      <c r="F147" s="1944"/>
      <c r="G147" s="1944"/>
      <c r="H147" s="1944"/>
      <c r="I147" s="1944"/>
      <c r="AA147" s="1337" t="str">
        <f t="shared" si="1"/>
        <v>- Canettes</v>
      </c>
      <c r="AB147" s="1526">
        <f>Paramètres!BV99</f>
        <v>39.04</v>
      </c>
      <c r="AC147" s="1526">
        <f>Paramètres!BW99</f>
        <v>10</v>
      </c>
      <c r="AD147" s="1526">
        <f>Paramètres!BX99</f>
        <v>2.4</v>
      </c>
      <c r="AE147" s="1821">
        <f>AB147*Saisie_Bilan!$C147</f>
        <v>0</v>
      </c>
      <c r="AF147" s="1821">
        <f>AC147*Saisie_Bilan!$C147</f>
        <v>0</v>
      </c>
      <c r="AG147" s="1821">
        <f>AD147*Saisie_Bilan!$C147</f>
        <v>0</v>
      </c>
      <c r="AH147" s="1526">
        <f>Paramètres!BY99</f>
        <v>4</v>
      </c>
      <c r="AI147" s="1985">
        <f t="shared" si="2"/>
        <v>1.02</v>
      </c>
      <c r="AJ147" s="1821">
        <f t="shared" si="5"/>
        <v>0</v>
      </c>
      <c r="AK147" s="1821">
        <f t="shared" si="3"/>
        <v>0</v>
      </c>
      <c r="AL147" s="1821">
        <f t="shared" si="4"/>
        <v>0</v>
      </c>
    </row>
    <row r="148" spans="1:38" x14ac:dyDescent="0.2">
      <c r="A148" s="1944"/>
      <c r="B148" s="1958" t="s">
        <v>1956</v>
      </c>
      <c r="C148" s="1988"/>
      <c r="D148" s="1957" t="s">
        <v>1948</v>
      </c>
      <c r="E148" s="1944"/>
      <c r="F148" s="1944"/>
      <c r="G148" s="1944"/>
      <c r="H148" s="1944"/>
      <c r="I148" s="1944"/>
      <c r="AA148" s="1337" t="str">
        <f t="shared" si="1"/>
        <v>- Canards gras</v>
      </c>
      <c r="AB148" s="1526">
        <f>Paramètres!BV100</f>
        <v>33.28</v>
      </c>
      <c r="AC148" s="1526">
        <f>Paramètres!BW100</f>
        <v>15</v>
      </c>
      <c r="AD148" s="1526">
        <f>Paramètres!BX100</f>
        <v>2.4</v>
      </c>
      <c r="AE148" s="1821">
        <f>AB148*Saisie_Bilan!$C148</f>
        <v>0</v>
      </c>
      <c r="AF148" s="1821">
        <f>AC148*Saisie_Bilan!$C148</f>
        <v>0</v>
      </c>
      <c r="AG148" s="1821">
        <f>AD148*Saisie_Bilan!$C148</f>
        <v>0</v>
      </c>
      <c r="AH148" s="1526">
        <f>Paramètres!BY100</f>
        <v>4</v>
      </c>
      <c r="AI148" s="1985">
        <f t="shared" si="2"/>
        <v>1.02</v>
      </c>
      <c r="AJ148" s="1821">
        <f t="shared" si="5"/>
        <v>0</v>
      </c>
      <c r="AK148" s="1821">
        <f t="shared" si="3"/>
        <v>0</v>
      </c>
      <c r="AL148" s="1821">
        <f t="shared" si="4"/>
        <v>0</v>
      </c>
    </row>
    <row r="149" spans="1:38" x14ac:dyDescent="0.2">
      <c r="A149" s="1944"/>
      <c r="B149" s="1958" t="s">
        <v>1957</v>
      </c>
      <c r="C149" s="1988"/>
      <c r="D149" s="1957" t="s">
        <v>1948</v>
      </c>
      <c r="E149" s="1944"/>
      <c r="F149" s="1944"/>
      <c r="G149" s="1944"/>
      <c r="H149" s="1944"/>
      <c r="I149" s="1944"/>
      <c r="AA149" s="1337" t="str">
        <f t="shared" si="1"/>
        <v>- Dindes</v>
      </c>
      <c r="AB149" s="1526">
        <f>Paramètres!BV101</f>
        <v>35.840000000000003</v>
      </c>
      <c r="AC149" s="1526">
        <f>Paramètres!BW101</f>
        <v>12.1</v>
      </c>
      <c r="AD149" s="1526">
        <f>Paramètres!BX101</f>
        <v>2.4</v>
      </c>
      <c r="AE149" s="1821">
        <f>AB149*Saisie_Bilan!$C149</f>
        <v>0</v>
      </c>
      <c r="AF149" s="1821">
        <f>AC149*Saisie_Bilan!$C149</f>
        <v>0</v>
      </c>
      <c r="AG149" s="1821">
        <f>AD149*Saisie_Bilan!$C149</f>
        <v>0</v>
      </c>
      <c r="AH149" s="1526">
        <f>Paramètres!BY101</f>
        <v>7</v>
      </c>
      <c r="AI149" s="1985">
        <f t="shared" si="2"/>
        <v>1.0349999999999999</v>
      </c>
      <c r="AJ149" s="1821">
        <f t="shared" si="5"/>
        <v>0</v>
      </c>
      <c r="AK149" s="1821">
        <f t="shared" si="3"/>
        <v>0</v>
      </c>
      <c r="AL149" s="1821">
        <f t="shared" si="4"/>
        <v>0</v>
      </c>
    </row>
    <row r="150" spans="1:38" x14ac:dyDescent="0.2">
      <c r="A150" s="1944"/>
      <c r="B150" s="1958" t="s">
        <v>1958</v>
      </c>
      <c r="C150" s="1988"/>
      <c r="D150" s="1957" t="s">
        <v>1948</v>
      </c>
      <c r="E150" s="1944"/>
      <c r="F150" s="1944"/>
      <c r="G150" s="1944"/>
      <c r="H150" s="1944"/>
      <c r="I150" s="1944"/>
      <c r="AA150" s="1337" t="str">
        <f t="shared" si="1"/>
        <v>- Pintades</v>
      </c>
      <c r="AB150" s="1526">
        <f>Paramètres!BV102</f>
        <v>37.6</v>
      </c>
      <c r="AC150" s="1526">
        <f>Paramètres!BW102</f>
        <v>11.7</v>
      </c>
      <c r="AD150" s="1526">
        <f>Paramètres!BX102</f>
        <v>2.4</v>
      </c>
      <c r="AE150" s="1821">
        <f>AB150*Saisie_Bilan!$C150</f>
        <v>0</v>
      </c>
      <c r="AF150" s="1821">
        <f>AC150*Saisie_Bilan!$C150</f>
        <v>0</v>
      </c>
      <c r="AG150" s="1821">
        <f>AD150*Saisie_Bilan!$C150</f>
        <v>0</v>
      </c>
      <c r="AH150" s="1526">
        <f>Paramètres!BY102</f>
        <v>7</v>
      </c>
      <c r="AI150" s="1985">
        <f t="shared" si="2"/>
        <v>1.0349999999999999</v>
      </c>
      <c r="AJ150" s="1821">
        <f t="shared" si="5"/>
        <v>0</v>
      </c>
      <c r="AK150" s="1821">
        <f t="shared" si="3"/>
        <v>0</v>
      </c>
      <c r="AL150" s="1821">
        <f t="shared" si="4"/>
        <v>0</v>
      </c>
    </row>
    <row r="151" spans="1:38" x14ac:dyDescent="0.2">
      <c r="A151" s="1944"/>
      <c r="B151" s="1958" t="s">
        <v>1959</v>
      </c>
      <c r="C151" s="1988"/>
      <c r="D151" s="1957" t="s">
        <v>801</v>
      </c>
      <c r="E151" s="1944"/>
      <c r="F151" s="1944"/>
      <c r="G151" s="1944"/>
      <c r="H151" s="1944"/>
      <c r="I151" s="1944"/>
      <c r="AA151" s="1337" t="str">
        <f t="shared" si="1"/>
        <v>- Oeufs</v>
      </c>
      <c r="AB151" s="1526">
        <f>Paramètres!BV103</f>
        <v>18.079999999999998</v>
      </c>
      <c r="AC151" s="1526">
        <f>Paramètres!BW103</f>
        <v>4.9000000000000004</v>
      </c>
      <c r="AD151" s="1526">
        <f>Paramètres!BX103</f>
        <v>1.44</v>
      </c>
      <c r="AE151" s="1821">
        <f>AB151*Saisie_Bilan!$C151</f>
        <v>0</v>
      </c>
      <c r="AF151" s="1821">
        <f>AC151*Saisie_Bilan!$C151</f>
        <v>0</v>
      </c>
      <c r="AG151" s="1821">
        <f>AD151*Saisie_Bilan!$C151</f>
        <v>0</v>
      </c>
      <c r="AH151" s="1526">
        <f>Paramètres!BY103</f>
        <v>0</v>
      </c>
      <c r="AI151" s="1985">
        <f t="shared" si="2"/>
        <v>1</v>
      </c>
      <c r="AJ151" s="1821">
        <f t="shared" si="5"/>
        <v>0</v>
      </c>
      <c r="AK151" s="1821">
        <f t="shared" si="3"/>
        <v>0</v>
      </c>
      <c r="AL151" s="1821">
        <f t="shared" si="4"/>
        <v>0</v>
      </c>
    </row>
    <row r="152" spans="1:38" x14ac:dyDescent="0.2">
      <c r="A152" s="1944"/>
      <c r="B152" s="1958" t="s">
        <v>1960</v>
      </c>
      <c r="C152" s="1988"/>
      <c r="D152" s="1957" t="s">
        <v>1948</v>
      </c>
      <c r="E152" s="1944"/>
      <c r="F152" s="1944"/>
      <c r="G152" s="1944"/>
      <c r="H152" s="1944"/>
      <c r="I152" s="1944"/>
      <c r="AA152" s="1337" t="str">
        <f t="shared" si="1"/>
        <v>- Lapins</v>
      </c>
      <c r="AB152" s="1526">
        <f>Paramètres!BV104</f>
        <v>32</v>
      </c>
      <c r="AC152" s="1526">
        <f>Paramètres!BW104</f>
        <v>15</v>
      </c>
      <c r="AD152" s="1526">
        <f>Paramètres!BX104</f>
        <v>6</v>
      </c>
      <c r="AE152" s="1821">
        <f>AB152*Saisie_Bilan!$C152</f>
        <v>0</v>
      </c>
      <c r="AF152" s="1821">
        <f>AC152*Saisie_Bilan!$C152</f>
        <v>0</v>
      </c>
      <c r="AG152" s="1821">
        <f>AD152*Saisie_Bilan!$C152</f>
        <v>0</v>
      </c>
      <c r="AH152" s="1526">
        <f>Paramètres!BY104</f>
        <v>12</v>
      </c>
      <c r="AI152" s="1985">
        <f t="shared" si="2"/>
        <v>1.06</v>
      </c>
      <c r="AJ152" s="1821">
        <f t="shared" si="5"/>
        <v>0</v>
      </c>
      <c r="AK152" s="1821">
        <f t="shared" si="3"/>
        <v>0</v>
      </c>
      <c r="AL152" s="1821">
        <f t="shared" si="4"/>
        <v>0</v>
      </c>
    </row>
    <row r="153" spans="1:38" x14ac:dyDescent="0.2">
      <c r="A153" s="1944"/>
      <c r="B153" s="1957" t="s">
        <v>1933</v>
      </c>
      <c r="C153" s="1944"/>
      <c r="D153" s="1944"/>
      <c r="E153" s="1944"/>
      <c r="F153" s="1944"/>
      <c r="G153" s="1944"/>
      <c r="H153" s="1944"/>
      <c r="I153" s="1944"/>
    </row>
    <row r="154" spans="1:38" x14ac:dyDescent="0.2">
      <c r="A154" s="1944"/>
      <c r="B154" s="1957"/>
      <c r="C154" s="1944"/>
      <c r="D154" s="1944"/>
      <c r="E154" s="1944"/>
      <c r="F154" s="1944"/>
      <c r="G154" s="1944"/>
      <c r="H154" s="1944"/>
      <c r="I154" s="1944"/>
    </row>
    <row r="155" spans="1:38" ht="12.75" customHeight="1" x14ac:dyDescent="0.2">
      <c r="A155" s="1944"/>
      <c r="B155" s="1956" t="s">
        <v>2150</v>
      </c>
      <c r="C155" s="1944"/>
      <c r="D155" s="1944"/>
      <c r="E155" s="1944"/>
      <c r="F155" s="1944"/>
      <c r="G155" s="2077"/>
      <c r="H155" s="1944"/>
      <c r="I155" s="1944"/>
    </row>
    <row r="156" spans="1:38" x14ac:dyDescent="0.2">
      <c r="A156" s="1944"/>
      <c r="B156" s="1956"/>
      <c r="C156" s="1944"/>
      <c r="D156" s="1944"/>
      <c r="E156" s="1944"/>
      <c r="F156" s="2081" t="s">
        <v>2158</v>
      </c>
      <c r="G156" s="2079">
        <f>SUM(G159:G194)</f>
        <v>11180</v>
      </c>
      <c r="H156" s="1957" t="s">
        <v>1237</v>
      </c>
      <c r="I156" s="1944"/>
    </row>
    <row r="157" spans="1:38" ht="12.75" customHeight="1" x14ac:dyDescent="0.2">
      <c r="A157" s="1944"/>
      <c r="B157" s="1956"/>
      <c r="C157" s="1944"/>
      <c r="D157" s="1944"/>
      <c r="E157" s="3412" t="s">
        <v>2157</v>
      </c>
      <c r="F157" s="3412"/>
      <c r="G157" s="3408" t="s">
        <v>2156</v>
      </c>
      <c r="H157" s="1944"/>
      <c r="I157" s="1944"/>
    </row>
    <row r="158" spans="1:38" x14ac:dyDescent="0.2">
      <c r="A158" s="1944"/>
      <c r="B158" s="2078" t="s">
        <v>2151</v>
      </c>
      <c r="C158" s="1944"/>
      <c r="D158" s="1957" t="s">
        <v>369</v>
      </c>
      <c r="E158" s="1957" t="s">
        <v>2154</v>
      </c>
      <c r="F158" s="1957" t="s">
        <v>2155</v>
      </c>
      <c r="G158" s="3413"/>
      <c r="H158" s="1944"/>
      <c r="I158" s="1944"/>
    </row>
    <row r="159" spans="1:38" x14ac:dyDescent="0.2">
      <c r="A159" s="1944"/>
      <c r="B159" s="2089" t="s">
        <v>417</v>
      </c>
      <c r="C159" s="1944"/>
      <c r="D159" s="2079">
        <f>VL_NbGenAn1</f>
        <v>16</v>
      </c>
      <c r="E159" s="1988">
        <v>120</v>
      </c>
      <c r="F159" s="1988">
        <v>260</v>
      </c>
      <c r="G159" s="2079">
        <f>(F159-E159)*D159</f>
        <v>2240</v>
      </c>
      <c r="H159" s="1944"/>
      <c r="I159" s="1944"/>
    </row>
    <row r="160" spans="1:38" x14ac:dyDescent="0.2">
      <c r="A160" s="1944"/>
      <c r="B160" s="2090" t="s">
        <v>418</v>
      </c>
      <c r="C160" s="1944"/>
      <c r="D160" s="2079">
        <f>VL_NbGenAn2</f>
        <v>16</v>
      </c>
      <c r="E160" s="1988">
        <v>360</v>
      </c>
      <c r="F160" s="1988">
        <v>500</v>
      </c>
      <c r="G160" s="2079">
        <f t="shared" ref="G160:G194" si="6">(F160-E160)*D160</f>
        <v>2240</v>
      </c>
      <c r="H160" s="1944"/>
      <c r="I160" s="1944"/>
    </row>
    <row r="161" spans="1:9" x14ac:dyDescent="0.2">
      <c r="A161" s="1944"/>
      <c r="B161" s="2090" t="s">
        <v>2152</v>
      </c>
      <c r="C161" s="1944"/>
      <c r="D161" s="2079">
        <f>VL_NbGenAn3</f>
        <v>15</v>
      </c>
      <c r="E161" s="1988">
        <v>580</v>
      </c>
      <c r="F161" s="1988">
        <v>640</v>
      </c>
      <c r="G161" s="2079">
        <f t="shared" si="6"/>
        <v>900</v>
      </c>
      <c r="H161" s="1944"/>
      <c r="I161" s="1944"/>
    </row>
    <row r="162" spans="1:9" x14ac:dyDescent="0.2">
      <c r="A162" s="1944"/>
      <c r="B162" s="2089" t="s">
        <v>2171</v>
      </c>
      <c r="C162" s="1944"/>
      <c r="D162" s="2079">
        <f>EN_NbMalAn1L</f>
        <v>0</v>
      </c>
      <c r="E162" s="1988"/>
      <c r="F162" s="1988"/>
      <c r="G162" s="2079">
        <f t="shared" si="6"/>
        <v>0</v>
      </c>
      <c r="H162" s="1944"/>
      <c r="I162" s="1944"/>
    </row>
    <row r="163" spans="1:9" x14ac:dyDescent="0.2">
      <c r="A163" s="1944"/>
      <c r="B163" s="2089" t="s">
        <v>2172</v>
      </c>
      <c r="C163" s="1944"/>
      <c r="D163" s="2079">
        <f>EN_NbMalAn1L</f>
        <v>0</v>
      </c>
      <c r="E163" s="1988"/>
      <c r="F163" s="1988"/>
      <c r="G163" s="2079">
        <f t="shared" si="6"/>
        <v>0</v>
      </c>
      <c r="H163" s="1944"/>
      <c r="I163" s="1944"/>
    </row>
    <row r="164" spans="1:9" x14ac:dyDescent="0.2">
      <c r="A164" s="1944"/>
      <c r="B164" s="2089" t="s">
        <v>2173</v>
      </c>
      <c r="C164" s="1944"/>
      <c r="D164" s="1944"/>
      <c r="E164" s="1944"/>
      <c r="F164" s="1944"/>
      <c r="G164" s="1944"/>
      <c r="H164" s="1944"/>
      <c r="I164" s="1944"/>
    </row>
    <row r="165" spans="1:9" x14ac:dyDescent="0.2">
      <c r="A165" s="1944"/>
      <c r="B165" s="2091" t="s">
        <v>2174</v>
      </c>
      <c r="C165" s="1944"/>
      <c r="D165" s="2079">
        <f>Saisies_Exploitation!D84</f>
        <v>0</v>
      </c>
      <c r="E165" s="1988"/>
      <c r="F165" s="1988"/>
      <c r="G165" s="2079">
        <f t="shared" si="6"/>
        <v>0</v>
      </c>
      <c r="H165" s="1944"/>
      <c r="I165" s="1944"/>
    </row>
    <row r="166" spans="1:9" x14ac:dyDescent="0.2">
      <c r="A166" s="1944"/>
      <c r="B166" s="2091" t="s">
        <v>2175</v>
      </c>
      <c r="C166" s="1944"/>
      <c r="D166" s="2079">
        <f>Saisies_Exploitation!D85</f>
        <v>0</v>
      </c>
      <c r="E166" s="1988"/>
      <c r="F166" s="1988"/>
      <c r="G166" s="2079">
        <f t="shared" si="6"/>
        <v>0</v>
      </c>
      <c r="H166" s="1944"/>
      <c r="I166" s="1944"/>
    </row>
    <row r="167" spans="1:9" x14ac:dyDescent="0.2">
      <c r="A167" s="1944"/>
      <c r="B167" s="2091" t="s">
        <v>2176</v>
      </c>
      <c r="C167" s="1944"/>
      <c r="D167" s="2079">
        <f>Saisies_Exploitation!D86</f>
        <v>0</v>
      </c>
      <c r="E167" s="1988"/>
      <c r="F167" s="1988"/>
      <c r="G167" s="2079">
        <f t="shared" si="6"/>
        <v>0</v>
      </c>
      <c r="H167" s="1944"/>
      <c r="I167" s="1944"/>
    </row>
    <row r="168" spans="1:9" x14ac:dyDescent="0.2">
      <c r="A168" s="1944"/>
      <c r="B168" s="2091" t="s">
        <v>2177</v>
      </c>
      <c r="C168" s="1944"/>
      <c r="D168" s="2079">
        <f>Saisies_Exploitation!D87</f>
        <v>0</v>
      </c>
      <c r="E168" s="1988"/>
      <c r="F168" s="1988"/>
      <c r="G168" s="2079">
        <f t="shared" si="6"/>
        <v>0</v>
      </c>
      <c r="H168" s="1944"/>
      <c r="I168" s="1944"/>
    </row>
    <row r="169" spans="1:9" x14ac:dyDescent="0.2">
      <c r="A169" s="1944"/>
      <c r="B169" s="2089" t="s">
        <v>2178</v>
      </c>
      <c r="C169" s="1944"/>
      <c r="D169" s="2079">
        <f>Saisies_Exploitation!D91</f>
        <v>0</v>
      </c>
      <c r="E169" s="1988"/>
      <c r="F169" s="1988"/>
      <c r="G169" s="2079">
        <f t="shared" si="6"/>
        <v>0</v>
      </c>
      <c r="H169" s="1944"/>
      <c r="I169" s="1944"/>
    </row>
    <row r="170" spans="1:9" x14ac:dyDescent="0.2">
      <c r="A170" s="1944"/>
      <c r="B170" s="2089" t="s">
        <v>2179</v>
      </c>
      <c r="C170" s="1944"/>
      <c r="D170" s="2079">
        <f>Saisies_Exploitation!D103</f>
        <v>0</v>
      </c>
      <c r="E170" s="1988"/>
      <c r="F170" s="1988"/>
      <c r="G170" s="2079">
        <f t="shared" si="6"/>
        <v>0</v>
      </c>
      <c r="H170" s="1944"/>
      <c r="I170" s="1944"/>
    </row>
    <row r="171" spans="1:9" x14ac:dyDescent="0.2">
      <c r="A171" s="1944"/>
      <c r="B171" s="2089" t="s">
        <v>2180</v>
      </c>
      <c r="C171" s="1944"/>
      <c r="D171" s="1944"/>
      <c r="E171" s="1944"/>
      <c r="F171" s="1944"/>
      <c r="G171" s="1944"/>
      <c r="H171" s="1944"/>
      <c r="I171" s="1944"/>
    </row>
    <row r="172" spans="1:9" x14ac:dyDescent="0.2">
      <c r="A172" s="1944"/>
      <c r="B172" s="2091" t="s">
        <v>2175</v>
      </c>
      <c r="C172" s="1944"/>
      <c r="D172" s="2079">
        <f>Saisies_Exploitation!D107</f>
        <v>0</v>
      </c>
      <c r="E172" s="1988"/>
      <c r="F172" s="1988"/>
      <c r="G172" s="2079">
        <f t="shared" si="6"/>
        <v>0</v>
      </c>
      <c r="H172" s="1944"/>
      <c r="I172" s="1944"/>
    </row>
    <row r="173" spans="1:9" x14ac:dyDescent="0.2">
      <c r="A173" s="1944"/>
      <c r="B173" s="2091" t="s">
        <v>2176</v>
      </c>
      <c r="C173" s="1944"/>
      <c r="D173" s="2079">
        <f>Saisies_Exploitation!D108</f>
        <v>0</v>
      </c>
      <c r="E173" s="1988"/>
      <c r="F173" s="1988"/>
      <c r="G173" s="2079">
        <f t="shared" si="6"/>
        <v>0</v>
      </c>
      <c r="H173" s="1944"/>
      <c r="I173" s="1944"/>
    </row>
    <row r="174" spans="1:9" x14ac:dyDescent="0.2">
      <c r="A174" s="1944"/>
      <c r="B174" s="2091" t="s">
        <v>2177</v>
      </c>
      <c r="C174" s="1944"/>
      <c r="D174" s="2079">
        <f>Saisies_Exploitation!D109</f>
        <v>0</v>
      </c>
      <c r="E174" s="1988"/>
      <c r="F174" s="1988"/>
      <c r="G174" s="2079">
        <f t="shared" si="6"/>
        <v>0</v>
      </c>
      <c r="H174" s="1944"/>
      <c r="I174" s="1944"/>
    </row>
    <row r="175" spans="1:9" x14ac:dyDescent="0.2">
      <c r="A175" s="1944"/>
      <c r="B175" s="2089" t="s">
        <v>303</v>
      </c>
      <c r="C175" s="1944"/>
      <c r="D175" s="2079">
        <f>EN_NbVaRefLait</f>
        <v>14</v>
      </c>
      <c r="E175" s="1988">
        <v>600</v>
      </c>
      <c r="F175" s="1988">
        <v>665</v>
      </c>
      <c r="G175" s="2079">
        <f t="shared" si="6"/>
        <v>910</v>
      </c>
      <c r="H175" s="1944"/>
      <c r="I175" s="1944"/>
    </row>
    <row r="176" spans="1:9" x14ac:dyDescent="0.2">
      <c r="A176" s="1944"/>
      <c r="B176" s="2089"/>
      <c r="C176" s="1944"/>
      <c r="D176" s="1944"/>
      <c r="E176" s="1944"/>
      <c r="F176" s="1944"/>
      <c r="G176" s="1944"/>
      <c r="H176" s="1944"/>
      <c r="I176" s="1944"/>
    </row>
    <row r="177" spans="1:9" x14ac:dyDescent="0.2">
      <c r="A177" s="1944"/>
      <c r="B177" s="2078" t="s">
        <v>2153</v>
      </c>
      <c r="C177" s="1944"/>
      <c r="D177" s="1944"/>
      <c r="E177" s="1944"/>
      <c r="F177" s="1944"/>
      <c r="G177" s="1944"/>
      <c r="H177" s="1944"/>
      <c r="I177" s="1944"/>
    </row>
    <row r="178" spans="1:9" x14ac:dyDescent="0.2">
      <c r="A178" s="1944"/>
      <c r="B178" s="2090" t="s">
        <v>417</v>
      </c>
      <c r="C178" s="1944"/>
      <c r="D178" s="2079">
        <f>TA_NbGenAn1</f>
        <v>10</v>
      </c>
      <c r="E178" s="1988">
        <v>60</v>
      </c>
      <c r="F178" s="1988">
        <v>210</v>
      </c>
      <c r="G178" s="2079">
        <f t="shared" si="6"/>
        <v>1500</v>
      </c>
      <c r="H178" s="2115"/>
      <c r="I178" s="1957"/>
    </row>
    <row r="179" spans="1:9" x14ac:dyDescent="0.2">
      <c r="A179" s="1944"/>
      <c r="B179" s="2090" t="s">
        <v>418</v>
      </c>
      <c r="C179" s="1944"/>
      <c r="D179" s="2079">
        <f>TA_NbGenAn2</f>
        <v>6</v>
      </c>
      <c r="E179" s="1988">
        <v>345</v>
      </c>
      <c r="F179" s="1988">
        <v>480</v>
      </c>
      <c r="G179" s="2079">
        <f t="shared" si="6"/>
        <v>810</v>
      </c>
      <c r="H179" s="2115"/>
      <c r="I179" s="1957"/>
    </row>
    <row r="180" spans="1:9" x14ac:dyDescent="0.2">
      <c r="A180" s="1944"/>
      <c r="B180" s="2090" t="s">
        <v>419</v>
      </c>
      <c r="C180" s="1944"/>
      <c r="D180" s="2079">
        <f>TA_NbGenAn3</f>
        <v>6</v>
      </c>
      <c r="E180" s="1988">
        <v>540</v>
      </c>
      <c r="F180" s="1988">
        <v>600</v>
      </c>
      <c r="G180" s="2079">
        <f t="shared" si="6"/>
        <v>360</v>
      </c>
      <c r="H180" s="1944"/>
      <c r="I180" s="1944"/>
    </row>
    <row r="181" spans="1:9" x14ac:dyDescent="0.2">
      <c r="A181" s="1944"/>
      <c r="B181" s="2089" t="s">
        <v>2171</v>
      </c>
      <c r="C181" s="1944"/>
      <c r="D181" s="2079">
        <f>EN_NbMalAn1A</f>
        <v>11</v>
      </c>
      <c r="E181" s="1988">
        <v>60</v>
      </c>
      <c r="F181" s="1988">
        <v>230</v>
      </c>
      <c r="G181" s="2079">
        <f t="shared" si="6"/>
        <v>1870</v>
      </c>
      <c r="H181" s="2115"/>
      <c r="I181" s="1957"/>
    </row>
    <row r="182" spans="1:9" x14ac:dyDescent="0.2">
      <c r="A182" s="1944"/>
      <c r="B182" s="2089" t="s">
        <v>2172</v>
      </c>
      <c r="C182" s="1944"/>
      <c r="D182" s="2079">
        <f>Saisies_Exploitation!E79</f>
        <v>0</v>
      </c>
      <c r="E182" s="1988"/>
      <c r="F182" s="1988"/>
      <c r="G182" s="2079">
        <f t="shared" si="6"/>
        <v>0</v>
      </c>
      <c r="H182" s="2115"/>
      <c r="I182" s="1957"/>
    </row>
    <row r="183" spans="1:9" x14ac:dyDescent="0.2">
      <c r="A183" s="1944"/>
      <c r="B183" s="2089" t="s">
        <v>2173</v>
      </c>
      <c r="C183" s="1944"/>
      <c r="D183" s="1944"/>
      <c r="E183" s="1944"/>
      <c r="F183" s="1944"/>
      <c r="G183" s="1944"/>
      <c r="H183" s="1944"/>
      <c r="I183" s="1944"/>
    </row>
    <row r="184" spans="1:9" x14ac:dyDescent="0.2">
      <c r="A184" s="1944"/>
      <c r="B184" s="2091" t="s">
        <v>2174</v>
      </c>
      <c r="C184" s="1944"/>
      <c r="D184" s="2079">
        <f>Saisies_Exploitation!E84</f>
        <v>0</v>
      </c>
      <c r="E184" s="1988"/>
      <c r="F184" s="1988"/>
      <c r="G184" s="2079">
        <f t="shared" si="6"/>
        <v>0</v>
      </c>
      <c r="H184" s="1944"/>
      <c r="I184" s="1944"/>
    </row>
    <row r="185" spans="1:9" x14ac:dyDescent="0.2">
      <c r="A185" s="1944"/>
      <c r="B185" s="2091" t="s">
        <v>2175</v>
      </c>
      <c r="C185" s="1944"/>
      <c r="D185" s="2079">
        <f>Saisies_Exploitation!E85</f>
        <v>0</v>
      </c>
      <c r="E185" s="1988"/>
      <c r="F185" s="1988"/>
      <c r="G185" s="2079">
        <f t="shared" si="6"/>
        <v>0</v>
      </c>
      <c r="H185" s="1944"/>
      <c r="I185" s="1944"/>
    </row>
    <row r="186" spans="1:9" x14ac:dyDescent="0.2">
      <c r="A186" s="1944"/>
      <c r="B186" s="2091" t="s">
        <v>2176</v>
      </c>
      <c r="C186" s="1944"/>
      <c r="D186" s="2079">
        <f>Saisies_Exploitation!E86</f>
        <v>0</v>
      </c>
      <c r="E186" s="1988"/>
      <c r="F186" s="1988"/>
      <c r="G186" s="2079">
        <f t="shared" si="6"/>
        <v>0</v>
      </c>
      <c r="H186" s="1944"/>
      <c r="I186" s="1944"/>
    </row>
    <row r="187" spans="1:9" x14ac:dyDescent="0.2">
      <c r="A187" s="1944"/>
      <c r="B187" s="2091" t="s">
        <v>2177</v>
      </c>
      <c r="C187" s="1944"/>
      <c r="D187" s="2079">
        <f>Saisies_Exploitation!E87</f>
        <v>0</v>
      </c>
      <c r="E187" s="1988"/>
      <c r="F187" s="1988"/>
      <c r="G187" s="2079">
        <f t="shared" si="6"/>
        <v>0</v>
      </c>
      <c r="H187" s="1944"/>
      <c r="I187" s="1944"/>
    </row>
    <row r="188" spans="1:9" x14ac:dyDescent="0.2">
      <c r="A188" s="1944"/>
      <c r="B188" s="2089" t="s">
        <v>2178</v>
      </c>
      <c r="C188" s="1944"/>
      <c r="D188" s="2079">
        <f>Saisies_Exploitation!E91</f>
        <v>0</v>
      </c>
      <c r="E188" s="1988"/>
      <c r="F188" s="1988"/>
      <c r="G188" s="2079">
        <f t="shared" si="6"/>
        <v>0</v>
      </c>
      <c r="H188" s="1944"/>
      <c r="I188" s="1944"/>
    </row>
    <row r="189" spans="1:9" x14ac:dyDescent="0.2">
      <c r="A189" s="1944"/>
      <c r="B189" s="2089" t="s">
        <v>2179</v>
      </c>
      <c r="C189" s="1944"/>
      <c r="D189" s="2079">
        <f>Saisies_Exploitation!E103</f>
        <v>0</v>
      </c>
      <c r="E189" s="1988"/>
      <c r="F189" s="1988"/>
      <c r="G189" s="2079">
        <f t="shared" si="6"/>
        <v>0</v>
      </c>
      <c r="H189" s="1944"/>
      <c r="I189" s="1944"/>
    </row>
    <row r="190" spans="1:9" x14ac:dyDescent="0.2">
      <c r="A190" s="1944"/>
      <c r="B190" s="2089" t="s">
        <v>2180</v>
      </c>
      <c r="C190" s="1944"/>
      <c r="D190" s="1944"/>
      <c r="E190" s="1944"/>
      <c r="F190" s="1944"/>
      <c r="G190" s="1944"/>
      <c r="H190" s="1944"/>
      <c r="I190" s="1944"/>
    </row>
    <row r="191" spans="1:9" x14ac:dyDescent="0.2">
      <c r="A191" s="1944"/>
      <c r="B191" s="2091" t="s">
        <v>2175</v>
      </c>
      <c r="C191" s="1944"/>
      <c r="D191" s="2079">
        <f>Saisies_Exploitation!E107</f>
        <v>0</v>
      </c>
      <c r="E191" s="2080"/>
      <c r="F191" s="1988"/>
      <c r="G191" s="2079">
        <f t="shared" si="6"/>
        <v>0</v>
      </c>
      <c r="H191" s="1944"/>
      <c r="I191" s="1944"/>
    </row>
    <row r="192" spans="1:9" x14ac:dyDescent="0.2">
      <c r="A192" s="1944"/>
      <c r="B192" s="2091" t="s">
        <v>2176</v>
      </c>
      <c r="C192" s="1944"/>
      <c r="D192" s="2079">
        <f>Saisies_Exploitation!E108</f>
        <v>0</v>
      </c>
      <c r="E192" s="1988"/>
      <c r="F192" s="1988"/>
      <c r="G192" s="2079">
        <f t="shared" si="6"/>
        <v>0</v>
      </c>
      <c r="H192" s="1944"/>
      <c r="I192" s="1944"/>
    </row>
    <row r="193" spans="1:9" x14ac:dyDescent="0.2">
      <c r="A193" s="1944"/>
      <c r="B193" s="2091" t="s">
        <v>2177</v>
      </c>
      <c r="C193" s="1944"/>
      <c r="D193" s="2079">
        <f>Saisies_Exploitation!E109</f>
        <v>0</v>
      </c>
      <c r="E193" s="1988"/>
      <c r="F193" s="1988"/>
      <c r="G193" s="2079">
        <f t="shared" si="6"/>
        <v>0</v>
      </c>
      <c r="H193" s="1944"/>
      <c r="I193" s="1944"/>
    </row>
    <row r="194" spans="1:9" x14ac:dyDescent="0.2">
      <c r="A194" s="1944"/>
      <c r="B194" s="2089" t="s">
        <v>303</v>
      </c>
      <c r="C194" s="1944"/>
      <c r="D194" s="2079">
        <f>EN_NbVaRefA</f>
        <v>5</v>
      </c>
      <c r="E194" s="1988">
        <v>580</v>
      </c>
      <c r="F194" s="1988">
        <v>650</v>
      </c>
      <c r="G194" s="2079">
        <f t="shared" si="6"/>
        <v>350</v>
      </c>
      <c r="H194" s="1944"/>
      <c r="I194" s="1944"/>
    </row>
    <row r="195" spans="1:9" x14ac:dyDescent="0.2">
      <c r="A195" s="1944"/>
      <c r="B195" s="1944"/>
      <c r="C195" s="1944"/>
      <c r="D195" s="1944"/>
      <c r="E195" s="1944"/>
      <c r="F195" s="1944"/>
      <c r="G195" s="1944"/>
      <c r="H195" s="1944"/>
      <c r="I195" s="1944"/>
    </row>
    <row r="196" spans="1:9" x14ac:dyDescent="0.2">
      <c r="A196" s="1944"/>
      <c r="B196" s="1944"/>
      <c r="C196" s="1944"/>
      <c r="D196" s="1944"/>
      <c r="E196" s="1944"/>
      <c r="F196" s="1944"/>
      <c r="G196" s="1944"/>
      <c r="H196" s="1944"/>
      <c r="I196" s="1944"/>
    </row>
    <row r="197" spans="1:9" x14ac:dyDescent="0.2">
      <c r="A197" s="1944"/>
      <c r="B197" s="1944"/>
      <c r="C197" s="1944"/>
      <c r="D197" s="1944"/>
      <c r="E197" s="1944"/>
      <c r="F197" s="1944"/>
      <c r="G197" s="1944"/>
      <c r="H197" s="1944"/>
      <c r="I197" s="1944"/>
    </row>
    <row r="198" spans="1:9" x14ac:dyDescent="0.2">
      <c r="A198" s="1944"/>
      <c r="B198" s="1944"/>
      <c r="C198" s="1944"/>
      <c r="D198" s="1944"/>
      <c r="E198" s="1944"/>
      <c r="F198" s="1944"/>
      <c r="G198" s="1944"/>
      <c r="H198" s="1944"/>
      <c r="I198" s="1944"/>
    </row>
    <row r="199" spans="1:9" x14ac:dyDescent="0.2">
      <c r="A199" s="1944"/>
      <c r="B199" s="1944"/>
      <c r="C199" s="1944"/>
      <c r="D199" s="1944"/>
      <c r="E199" s="1944"/>
      <c r="F199" s="1944"/>
      <c r="G199" s="1944"/>
      <c r="H199" s="1944"/>
      <c r="I199" s="1944"/>
    </row>
    <row r="200" spans="1:9" x14ac:dyDescent="0.2">
      <c r="A200" s="1944"/>
      <c r="B200" s="1944"/>
      <c r="C200" s="1944"/>
      <c r="D200" s="1944"/>
      <c r="E200" s="1944"/>
      <c r="F200" s="1944"/>
      <c r="G200" s="1944"/>
      <c r="H200" s="1944"/>
      <c r="I200" s="1944"/>
    </row>
    <row r="201" spans="1:9" x14ac:dyDescent="0.2">
      <c r="A201" s="1944"/>
      <c r="B201" s="1944"/>
      <c r="C201" s="1944"/>
      <c r="D201" s="1944"/>
      <c r="E201" s="1944"/>
      <c r="F201" s="1944"/>
      <c r="G201" s="1944"/>
      <c r="H201" s="1944"/>
      <c r="I201" s="1944"/>
    </row>
    <row r="202" spans="1:9" x14ac:dyDescent="0.2">
      <c r="A202" s="1944"/>
      <c r="B202" s="1944"/>
      <c r="C202" s="1944"/>
      <c r="D202" s="1944"/>
      <c r="E202" s="1944"/>
      <c r="F202" s="1944"/>
      <c r="G202" s="1944"/>
      <c r="H202" s="1944"/>
      <c r="I202" s="1944"/>
    </row>
    <row r="203" spans="1:9" x14ac:dyDescent="0.2">
      <c r="A203" s="1944"/>
      <c r="B203" s="1944"/>
      <c r="C203" s="1944"/>
      <c r="D203" s="1944"/>
      <c r="E203" s="1944"/>
      <c r="F203" s="1944"/>
      <c r="G203" s="1944"/>
      <c r="H203" s="1944"/>
      <c r="I203" s="1944"/>
    </row>
    <row r="204" spans="1:9" x14ac:dyDescent="0.2">
      <c r="A204" s="1944"/>
      <c r="B204" s="1944"/>
      <c r="C204" s="1944"/>
      <c r="D204" s="1944"/>
      <c r="E204" s="1944"/>
      <c r="F204" s="1944"/>
      <c r="G204" s="1944"/>
      <c r="H204" s="1944"/>
      <c r="I204" s="1944"/>
    </row>
    <row r="205" spans="1:9" x14ac:dyDescent="0.2">
      <c r="A205" s="1944"/>
      <c r="B205" s="1944"/>
      <c r="C205" s="1944"/>
      <c r="D205" s="1944"/>
      <c r="E205" s="1944"/>
      <c r="F205" s="1944"/>
      <c r="G205" s="1944"/>
      <c r="H205" s="1944"/>
      <c r="I205" s="1944"/>
    </row>
    <row r="206" spans="1:9" x14ac:dyDescent="0.2">
      <c r="A206" s="1944"/>
      <c r="B206" s="1944"/>
      <c r="C206" s="1944"/>
      <c r="D206" s="1944"/>
      <c r="E206" s="1944"/>
      <c r="F206" s="1944"/>
      <c r="G206" s="1944"/>
      <c r="H206" s="1944"/>
      <c r="I206" s="1944"/>
    </row>
    <row r="207" spans="1:9" x14ac:dyDescent="0.2">
      <c r="A207" s="1944"/>
      <c r="B207" s="1944"/>
      <c r="C207" s="1944"/>
      <c r="D207" s="1944"/>
      <c r="E207" s="1944"/>
      <c r="F207" s="1944"/>
      <c r="G207" s="1944"/>
      <c r="H207" s="1944"/>
      <c r="I207" s="1944"/>
    </row>
  </sheetData>
  <sheetProtection algorithmName="SHA-512" hashValue="uxL+v1mqV5qvl1jhlogMk3uy44ON50MmTRELclMEBQHHHvlyw/+cco2leyCM+12jz86uqbY/f1b5GaLfMcosvA==" saltValue="HqdZH6Z4a2Iwp4TZinphhQ==" spinCount="100000" sheet="1" objects="1" scenarios="1"/>
  <mergeCells count="19">
    <mergeCell ref="E137:G139"/>
    <mergeCell ref="H137:H139"/>
    <mergeCell ref="E157:F157"/>
    <mergeCell ref="G157:G158"/>
    <mergeCell ref="AE135:AG135"/>
    <mergeCell ref="B4:I4"/>
    <mergeCell ref="B2:I2"/>
    <mergeCell ref="AE121:AG121"/>
    <mergeCell ref="AB45:AD45"/>
    <mergeCell ref="AE45:AG45"/>
    <mergeCell ref="B8:D8"/>
    <mergeCell ref="AB108:AD108"/>
    <mergeCell ref="AE108:AG108"/>
    <mergeCell ref="C118:D118"/>
    <mergeCell ref="AB57:AD57"/>
    <mergeCell ref="AE57:AG57"/>
    <mergeCell ref="AB99:AD99"/>
    <mergeCell ref="AE99:AG99"/>
    <mergeCell ref="C120:D120"/>
  </mergeCells>
  <dataValidations count="3">
    <dataValidation type="list" allowBlank="1" showInputMessage="1" showErrorMessage="1" sqref="C118:D118">
      <formula1>$AH$118:$AH$120</formula1>
    </dataValidation>
    <dataValidation type="list" allowBlank="1" showInputMessage="1" showErrorMessage="1" sqref="C120:D120">
      <formula1>$AK$118:$AK$120</formula1>
    </dataValidation>
    <dataValidation type="decimal" allowBlank="1" showInputMessage="1" showErrorMessage="1" errorTitle="Chiffre trop bas ou trop élevé" error="Fourchette admissible 10 -35" sqref="H137:H139">
      <formula1>10</formula1>
      <formula2>30</formula2>
    </dataValidation>
  </dataValidations>
  <hyperlinks>
    <hyperlink ref="B2" location="Saisie_Bilan!A5" display="Saisie_Bilan!A5"/>
    <hyperlink ref="B4" location="Saisie_Bilan!A50" display="Saisie_Bilan!A50"/>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Button 1">
              <controlPr defaultSize="0" print="0" autoFill="0" autoPict="0" macro="[0]!Retour_Presentation">
                <anchor moveWithCells="1" sizeWithCells="1">
                  <from>
                    <xdr:col>7</xdr:col>
                    <xdr:colOff>247650</xdr:colOff>
                    <xdr:row>0</xdr:row>
                    <xdr:rowOff>0</xdr:rowOff>
                  </from>
                  <to>
                    <xdr:col>9</xdr:col>
                    <xdr:colOff>104775</xdr:colOff>
                    <xdr:row>1</xdr:row>
                    <xdr:rowOff>95250</xdr:rowOff>
                  </to>
                </anchor>
              </controlPr>
            </control>
          </mc:Choice>
        </mc:AlternateContent>
        <mc:AlternateContent xmlns:mc="http://schemas.openxmlformats.org/markup-compatibility/2006">
          <mc:Choice Requires="x14">
            <control shapeId="102405" r:id="rId5" name="Button 5">
              <controlPr defaultSize="0" print="0" autoFill="0" autoPict="0" macro="[0]!Efface_Saisie_Bilan" altText="Effacer les données de la feuille">
                <anchor moveWithCells="1" sizeWithCells="1">
                  <from>
                    <xdr:col>1</xdr:col>
                    <xdr:colOff>781050</xdr:colOff>
                    <xdr:row>0</xdr:row>
                    <xdr:rowOff>0</xdr:rowOff>
                  </from>
                  <to>
                    <xdr:col>5</xdr:col>
                    <xdr:colOff>361950</xdr:colOff>
                    <xdr:row>0</xdr:row>
                    <xdr:rowOff>428625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4">
    <tabColor theme="4" tint="0.39997558519241921"/>
  </sheetPr>
  <dimension ref="A1:AZ54"/>
  <sheetViews>
    <sheetView topLeftCell="A27" workbookViewId="0">
      <selection activeCell="F36" sqref="F36"/>
    </sheetView>
  </sheetViews>
  <sheetFormatPr baseColWidth="10" defaultRowHeight="12.75" x14ac:dyDescent="0.2"/>
  <cols>
    <col min="1" max="1" width="1.85546875" customWidth="1"/>
    <col min="2" max="2" width="30.5703125" customWidth="1"/>
    <col min="3" max="5" width="7.7109375" customWidth="1"/>
    <col min="6" max="6" width="17.5703125" customWidth="1"/>
    <col min="7" max="7" width="3.28515625" customWidth="1"/>
    <col min="8" max="8" width="37.42578125" customWidth="1"/>
    <col min="9" max="9" width="8.140625" customWidth="1"/>
    <col min="10" max="10" width="7.7109375" customWidth="1"/>
    <col min="11" max="11" width="9.7109375" customWidth="1"/>
    <col min="27" max="27" width="32.85546875" hidden="1" customWidth="1"/>
    <col min="28" max="28" width="31.5703125" hidden="1" customWidth="1"/>
    <col min="29" max="30" width="9.42578125" hidden="1" customWidth="1"/>
    <col min="31" max="33" width="7.42578125" hidden="1" customWidth="1"/>
    <col min="34" max="34" width="5.7109375" hidden="1" customWidth="1"/>
    <col min="35" max="35" width="5.5703125" hidden="1" customWidth="1"/>
    <col min="36" max="36" width="28.85546875" hidden="1" customWidth="1"/>
    <col min="37" max="39" width="11.42578125" hidden="1" customWidth="1"/>
    <col min="40" max="45" width="7.140625" hidden="1" customWidth="1"/>
    <col min="46" max="52" width="11.42578125" hidden="1" customWidth="1"/>
    <col min="53" max="78" width="0" hidden="1" customWidth="1"/>
  </cols>
  <sheetData>
    <row r="1" spans="1:31" ht="18" x14ac:dyDescent="0.2">
      <c r="A1" s="3123" t="s">
        <v>2320</v>
      </c>
      <c r="B1" s="3123"/>
      <c r="C1" s="3123"/>
      <c r="D1" s="3123"/>
      <c r="E1" s="3123"/>
      <c r="F1" s="3123"/>
      <c r="G1" s="3123"/>
      <c r="H1" s="3123"/>
      <c r="I1" s="3123"/>
      <c r="J1" s="2282"/>
      <c r="K1" s="2282"/>
      <c r="L1" s="2282"/>
      <c r="M1" s="2282"/>
    </row>
    <row r="2" spans="1:31" x14ac:dyDescent="0.2">
      <c r="A2" s="2282"/>
      <c r="B2" s="2282"/>
      <c r="C2" s="2282"/>
      <c r="D2" s="2282"/>
      <c r="E2" s="2282"/>
      <c r="F2" s="2282"/>
      <c r="G2" s="2282"/>
      <c r="H2" s="2282"/>
      <c r="I2" s="2282"/>
      <c r="J2" s="2282"/>
      <c r="K2" s="2282"/>
      <c r="L2" s="2282"/>
      <c r="M2" s="2282"/>
    </row>
    <row r="3" spans="1:31" x14ac:dyDescent="0.2">
      <c r="A3" s="2282"/>
      <c r="B3" s="2282"/>
      <c r="C3" s="2282"/>
      <c r="D3" s="2282"/>
      <c r="E3" s="2282"/>
      <c r="F3" s="2282"/>
      <c r="G3" s="2282"/>
      <c r="H3" s="2282"/>
      <c r="I3" s="2282"/>
      <c r="J3" s="2282"/>
      <c r="K3" s="2282"/>
      <c r="L3" s="2282"/>
      <c r="M3" s="2282"/>
    </row>
    <row r="4" spans="1:31" x14ac:dyDescent="0.2">
      <c r="A4" s="2282"/>
      <c r="B4" s="2282"/>
      <c r="C4" s="2282"/>
      <c r="D4" s="2282"/>
      <c r="E4" s="2282"/>
      <c r="F4" s="2282"/>
      <c r="G4" s="2282"/>
      <c r="H4" s="2282"/>
      <c r="I4" s="2282"/>
      <c r="J4" s="2282"/>
      <c r="K4" s="2282"/>
      <c r="L4" s="2282"/>
      <c r="M4" s="2282"/>
    </row>
    <row r="5" spans="1:31" x14ac:dyDescent="0.2">
      <c r="A5" s="2282"/>
      <c r="B5" s="2282"/>
      <c r="C5" s="2282"/>
      <c r="D5" s="2282"/>
      <c r="E5" s="2282"/>
      <c r="F5" s="2282"/>
      <c r="G5" s="2282"/>
      <c r="H5" s="2282"/>
      <c r="I5" s="2282"/>
      <c r="J5" s="2282"/>
      <c r="K5" s="2282"/>
      <c r="L5" s="2282"/>
      <c r="M5" s="2282"/>
    </row>
    <row r="6" spans="1:31" ht="15" x14ac:dyDescent="0.25">
      <c r="A6" s="2708" t="s">
        <v>2292</v>
      </c>
      <c r="B6" s="2495"/>
      <c r="C6" s="2282"/>
      <c r="D6" s="2282"/>
      <c r="E6" s="2282"/>
      <c r="F6" s="2282"/>
      <c r="G6" s="2282"/>
      <c r="H6" s="2282"/>
      <c r="I6" s="2282"/>
      <c r="J6" s="2282"/>
      <c r="K6" s="2282"/>
      <c r="L6" s="2282"/>
      <c r="M6" s="2282"/>
    </row>
    <row r="7" spans="1:31" x14ac:dyDescent="0.2">
      <c r="A7" s="2282"/>
      <c r="B7" s="2282"/>
      <c r="C7" s="2282"/>
      <c r="D7" s="2282"/>
      <c r="E7" s="2282"/>
      <c r="F7" s="2282"/>
      <c r="G7" s="2282"/>
      <c r="H7" s="2282"/>
      <c r="I7" s="2282"/>
      <c r="J7" s="2282"/>
      <c r="K7" s="2282"/>
      <c r="L7" s="2282"/>
      <c r="M7" s="2282"/>
    </row>
    <row r="8" spans="1:31" ht="15" x14ac:dyDescent="0.25">
      <c r="A8" s="2282"/>
      <c r="B8" s="2713" t="s">
        <v>1807</v>
      </c>
      <c r="C8" s="2714" t="s">
        <v>625</v>
      </c>
      <c r="D8" s="2714" t="s">
        <v>187</v>
      </c>
      <c r="E8" s="2714" t="s">
        <v>665</v>
      </c>
      <c r="F8" s="2573"/>
      <c r="G8" s="2282"/>
      <c r="H8" s="2713" t="s">
        <v>1808</v>
      </c>
      <c r="I8" s="2714" t="s">
        <v>625</v>
      </c>
      <c r="J8" s="2714" t="s">
        <v>187</v>
      </c>
      <c r="K8" s="2714" t="s">
        <v>665</v>
      </c>
      <c r="L8" s="2282"/>
      <c r="M8" s="2282"/>
      <c r="AA8" s="1521" t="s">
        <v>1795</v>
      </c>
    </row>
    <row r="9" spans="1:31" x14ac:dyDescent="0.2">
      <c r="A9" s="2282"/>
      <c r="B9" s="2627" t="s">
        <v>1787</v>
      </c>
      <c r="C9" s="2628">
        <f>NPK_Organiques!H21</f>
        <v>9928.0863905325441</v>
      </c>
      <c r="D9" s="2628">
        <f>NPK_Organiques!K21</f>
        <v>3947.2332347140041</v>
      </c>
      <c r="E9" s="2628">
        <f>NPK_Organiques!N21</f>
        <v>13913.08201183432</v>
      </c>
      <c r="F9" s="2626"/>
      <c r="G9" s="2282"/>
      <c r="H9" s="2627" t="s">
        <v>1789</v>
      </c>
      <c r="I9" s="2628">
        <f>Autonomie!K55</f>
        <v>13345.595000000001</v>
      </c>
      <c r="J9" s="2628">
        <f>Autonomie!L55</f>
        <v>4018.1275000000001</v>
      </c>
      <c r="K9" s="2628">
        <f>Autonomie!AN51</f>
        <v>17811.690000000002</v>
      </c>
      <c r="L9" s="2282"/>
      <c r="M9" s="2282"/>
      <c r="AB9" s="1369" t="str">
        <f>Plan_Epandage!AI15</f>
        <v>Bovins - Fumier</v>
      </c>
      <c r="AC9" s="1369">
        <v>1.7</v>
      </c>
    </row>
    <row r="10" spans="1:31" x14ac:dyDescent="0.2">
      <c r="A10" s="2282"/>
      <c r="B10" s="2627" t="s">
        <v>1802</v>
      </c>
      <c r="C10" s="2633">
        <f>TotNImport</f>
        <v>0</v>
      </c>
      <c r="D10" s="2628">
        <f>IF(ISERROR(Plan_Epandage!L42),0,Plan_Epandage!L42)</f>
        <v>0</v>
      </c>
      <c r="E10" s="2633">
        <f>IF(ISERROR(AA12),0,C10*AA12)</f>
        <v>0</v>
      </c>
      <c r="F10" s="2428"/>
      <c r="G10" s="2282"/>
      <c r="H10" s="2627" t="s">
        <v>1790</v>
      </c>
      <c r="I10" s="2633">
        <f>SUM(Saisie_Bilan!AF10:AF35)</f>
        <v>0</v>
      </c>
      <c r="J10" s="2633">
        <f>SUM(Saisie_Bilan!AG10:AG35)</f>
        <v>0</v>
      </c>
      <c r="K10" s="2633">
        <f>SUM(Saisie_Bilan!AH10:AH35)</f>
        <v>0</v>
      </c>
      <c r="L10" s="2282"/>
      <c r="M10" s="2282"/>
      <c r="AA10" s="1520" t="s">
        <v>1796</v>
      </c>
      <c r="AB10" s="1369" t="str">
        <f>Plan_Epandage!AI16</f>
        <v>Bovins - Lisier</v>
      </c>
      <c r="AC10" s="1369">
        <v>1.2</v>
      </c>
    </row>
    <row r="11" spans="1:31" x14ac:dyDescent="0.2">
      <c r="A11" s="2282"/>
      <c r="B11" s="2627" t="s">
        <v>1788</v>
      </c>
      <c r="C11" s="2628">
        <f>Ferti_SAU!F47</f>
        <v>5440</v>
      </c>
      <c r="D11" s="2628">
        <f>Ferti_SAU!G47</f>
        <v>3545</v>
      </c>
      <c r="E11" s="2628">
        <f>Ferti_SAU!H47</f>
        <v>8955</v>
      </c>
      <c r="F11" s="2626"/>
      <c r="G11" s="2282"/>
      <c r="H11" s="2627" t="s">
        <v>1791</v>
      </c>
      <c r="I11" s="2633">
        <f>IF(Plan_Epandage!$D$6&gt;170,Plan_Epandage!$F$89,IF(Plan_Epandage!$AB$9=2,Plan_Epandage!$F$32,0))</f>
        <v>0</v>
      </c>
      <c r="J11" s="2633">
        <f>IF(Plan_Epandage!$D$6&gt;170,Plan_Epandage!$L$89,IF(Plan_Epandage!$AB$9=2,Plan_Epandage!$L$32,0))</f>
        <v>0</v>
      </c>
      <c r="K11" s="2633">
        <f>IF(ISERROR(AA16),0,I11*AA16)</f>
        <v>0</v>
      </c>
      <c r="L11" s="2282"/>
      <c r="M11" s="2282"/>
      <c r="AA11" s="1520">
        <f>NatEffImp</f>
        <v>0</v>
      </c>
      <c r="AB11" s="1369" t="str">
        <f>Plan_Epandage!AI17</f>
        <v>Bovins - Compost</v>
      </c>
      <c r="AC11" s="1369">
        <v>1.75</v>
      </c>
    </row>
    <row r="12" spans="1:31" x14ac:dyDescent="0.2">
      <c r="A12" s="2282"/>
      <c r="B12" s="2715" t="s">
        <v>1792</v>
      </c>
      <c r="C12" s="2716">
        <f>SUM(C9:C11)</f>
        <v>15368.086390532544</v>
      </c>
      <c r="D12" s="2716">
        <f>SUM(D9:D11)</f>
        <v>7492.2332347140036</v>
      </c>
      <c r="E12" s="2716">
        <f>SUM(E9:E11)</f>
        <v>22868.082011834318</v>
      </c>
      <c r="F12" s="2709"/>
      <c r="G12" s="2282"/>
      <c r="H12" s="2715" t="s">
        <v>1792</v>
      </c>
      <c r="I12" s="2716">
        <f>SUM(I9:I11)</f>
        <v>13345.595000000001</v>
      </c>
      <c r="J12" s="2716">
        <f>SUM(J9:J11)</f>
        <v>4018.1275000000001</v>
      </c>
      <c r="K12" s="2716">
        <f>SUM(K9:K11)</f>
        <v>17811.690000000002</v>
      </c>
      <c r="L12" s="2282"/>
      <c r="M12" s="2282"/>
      <c r="AA12" s="1337" t="e">
        <f>VLOOKUP(AA11,$AB$9:$AC$33,2,FALSE)</f>
        <v>#N/A</v>
      </c>
      <c r="AB12" s="1369" t="str">
        <f>Plan_Epandage!AI18</f>
        <v>Porcs Biphase - Lisier</v>
      </c>
      <c r="AC12" s="1369">
        <v>0.7</v>
      </c>
      <c r="AE12" s="1372"/>
    </row>
    <row r="13" spans="1:31" x14ac:dyDescent="0.2">
      <c r="A13" s="2282"/>
      <c r="B13" s="2700" t="s">
        <v>1793</v>
      </c>
      <c r="C13" s="2717">
        <f>C12/SA_SAUnette</f>
        <v>170.7565154503616</v>
      </c>
      <c r="D13" s="2717">
        <f>D12/SA_SAUnette</f>
        <v>83.247035941266702</v>
      </c>
      <c r="E13" s="2717">
        <f>E12/SA_SAUnette</f>
        <v>254.08980013149241</v>
      </c>
      <c r="F13" s="2710"/>
      <c r="G13" s="2282"/>
      <c r="H13" s="2700" t="s">
        <v>1793</v>
      </c>
      <c r="I13" s="2717">
        <f>I12/SA_SAUnette</f>
        <v>148.28438888888891</v>
      </c>
      <c r="J13" s="2717">
        <f>J12/SA_SAUnette</f>
        <v>44.64586111111111</v>
      </c>
      <c r="K13" s="2717">
        <f>K12/SA_SAUnette</f>
        <v>197.9076666666667</v>
      </c>
      <c r="L13" s="2282"/>
      <c r="M13" s="2282"/>
      <c r="AB13" s="1369" t="str">
        <f>Plan_Epandage!AI19</f>
        <v>Porcs Biphase - Fumier paille</v>
      </c>
      <c r="AC13" s="1369">
        <v>1.5</v>
      </c>
    </row>
    <row r="14" spans="1:31" x14ac:dyDescent="0.2">
      <c r="A14" s="2282"/>
      <c r="B14" s="2718" t="s">
        <v>1794</v>
      </c>
      <c r="C14" s="2719">
        <f>C12/SA_SAUtotale</f>
        <v>161.76933042665837</v>
      </c>
      <c r="D14" s="2719">
        <f>D12/SA_SAUtotale</f>
        <v>78.865612996989512</v>
      </c>
      <c r="E14" s="2719">
        <f>E12/SA_SAUtotale</f>
        <v>240.71665275615072</v>
      </c>
      <c r="F14" s="2711"/>
      <c r="G14" s="2283"/>
      <c r="H14" s="2718" t="s">
        <v>1794</v>
      </c>
      <c r="I14" s="2719">
        <f>I12/SA_SAUtotale</f>
        <v>140.47994736842105</v>
      </c>
      <c r="J14" s="2719">
        <f>J12/SA_SAUtotale</f>
        <v>42.296078947368422</v>
      </c>
      <c r="K14" s="2719">
        <f>K12/SA_SAUtotale</f>
        <v>187.49147368421055</v>
      </c>
      <c r="L14" s="2282"/>
      <c r="M14" s="2282"/>
      <c r="AA14" s="1520" t="s">
        <v>1797</v>
      </c>
      <c r="AB14" s="1369" t="str">
        <f>Plan_Epandage!AI20</f>
        <v>Porcs Biphase - Fumier Sciure</v>
      </c>
      <c r="AC14" s="1369">
        <v>1.7</v>
      </c>
    </row>
    <row r="15" spans="1:31" x14ac:dyDescent="0.2">
      <c r="A15" s="2282"/>
      <c r="B15" s="2282"/>
      <c r="C15" s="2282"/>
      <c r="D15" s="2282"/>
      <c r="E15" s="2282"/>
      <c r="F15" s="2282"/>
      <c r="G15" s="2282"/>
      <c r="H15" s="2282"/>
      <c r="I15" s="2282"/>
      <c r="J15" s="2282"/>
      <c r="K15" s="2282"/>
      <c r="L15" s="2282"/>
      <c r="M15" s="2282"/>
      <c r="AA15" s="1520">
        <f>IF(Plan_Epandage!$D$6&lt;=170,NatEffExp,NatEffExport)</f>
        <v>0</v>
      </c>
      <c r="AB15" s="1369" t="str">
        <f>Plan_Epandage!AI21</f>
        <v>Porcs Biphase - Fumier copeaux</v>
      </c>
      <c r="AC15" s="1369">
        <v>2</v>
      </c>
    </row>
    <row r="16" spans="1:31" ht="12.75" customHeight="1" x14ac:dyDescent="0.25">
      <c r="A16" s="2712"/>
      <c r="B16" s="3417" t="s">
        <v>2444</v>
      </c>
      <c r="C16" s="3417"/>
      <c r="D16" s="3417"/>
      <c r="E16" s="3417"/>
      <c r="F16" s="3417"/>
      <c r="G16" s="2712"/>
      <c r="H16" s="2713" t="s">
        <v>2310</v>
      </c>
      <c r="I16" s="2714" t="s">
        <v>625</v>
      </c>
      <c r="J16" s="2714" t="s">
        <v>187</v>
      </c>
      <c r="K16" s="2714" t="s">
        <v>665</v>
      </c>
      <c r="L16" s="2712"/>
      <c r="M16" s="2282"/>
      <c r="AA16" s="1337" t="e">
        <f>VLOOKUP(AA15,$AB$9:$AC$30,2,FALSE)</f>
        <v>#N/A</v>
      </c>
      <c r="AB16" s="1369" t="str">
        <f>Plan_Epandage!AI22</f>
        <v>Porcs Biphase - Compost copeaux</v>
      </c>
      <c r="AC16" s="1369">
        <v>2.4700000000000002</v>
      </c>
    </row>
    <row r="17" spans="1:29" x14ac:dyDescent="0.2">
      <c r="A17" s="2712"/>
      <c r="B17" s="3417"/>
      <c r="C17" s="3417"/>
      <c r="D17" s="3417"/>
      <c r="E17" s="3417"/>
      <c r="F17" s="3417"/>
      <c r="G17" s="2712"/>
      <c r="H17" s="2715" t="s">
        <v>1809</v>
      </c>
      <c r="I17" s="2716">
        <f t="shared" ref="I17:K19" si="0">C12-I12</f>
        <v>2022.4913905325429</v>
      </c>
      <c r="J17" s="2716">
        <f t="shared" si="0"/>
        <v>3474.1057347140036</v>
      </c>
      <c r="K17" s="2716">
        <f t="shared" si="0"/>
        <v>5056.3920118343158</v>
      </c>
      <c r="L17" s="2712"/>
      <c r="M17" s="2282"/>
      <c r="AB17" s="1369" t="str">
        <f>Plan_Epandage!AI23</f>
        <v>Porcs Biphase - Autre compost</v>
      </c>
      <c r="AC17" s="1369">
        <v>1.85</v>
      </c>
    </row>
    <row r="18" spans="1:29" x14ac:dyDescent="0.2">
      <c r="A18" s="2282"/>
      <c r="B18" s="3417"/>
      <c r="C18" s="3417"/>
      <c r="D18" s="3417"/>
      <c r="E18" s="3417"/>
      <c r="F18" s="3417"/>
      <c r="G18" s="2282"/>
      <c r="H18" s="2700" t="s">
        <v>1810</v>
      </c>
      <c r="I18" s="2717">
        <f t="shared" si="0"/>
        <v>22.472126561472692</v>
      </c>
      <c r="J18" s="2717">
        <f t="shared" si="0"/>
        <v>38.601174830155593</v>
      </c>
      <c r="K18" s="2717">
        <f t="shared" si="0"/>
        <v>56.182133464825711</v>
      </c>
      <c r="L18" s="2282"/>
      <c r="M18" s="2282"/>
      <c r="AB18" s="1369" t="str">
        <f>Plan_Epandage!AI24</f>
        <v>Porcs classique - Lisier</v>
      </c>
      <c r="AC18" s="1369">
        <f t="shared" ref="AC18:AC23" si="1">AC12*0.9</f>
        <v>0.63</v>
      </c>
    </row>
    <row r="19" spans="1:29" x14ac:dyDescent="0.2">
      <c r="A19" s="2282"/>
      <c r="B19" s="3417"/>
      <c r="C19" s="3417"/>
      <c r="D19" s="3417"/>
      <c r="E19" s="3417"/>
      <c r="F19" s="3417"/>
      <c r="G19" s="2282"/>
      <c r="H19" s="2718" t="s">
        <v>1811</v>
      </c>
      <c r="I19" s="2719">
        <f t="shared" si="0"/>
        <v>21.28938305823732</v>
      </c>
      <c r="J19" s="2719">
        <f t="shared" si="0"/>
        <v>36.56953404962109</v>
      </c>
      <c r="K19" s="2719">
        <f t="shared" si="0"/>
        <v>53.225179071940175</v>
      </c>
      <c r="L19" s="2282"/>
      <c r="M19" s="2282"/>
      <c r="AB19" s="1369" t="str">
        <f>Plan_Epandage!AI25</f>
        <v>Porcs classique - Fumier paille</v>
      </c>
      <c r="AC19" s="1369">
        <f t="shared" si="1"/>
        <v>1.35</v>
      </c>
    </row>
    <row r="20" spans="1:29" x14ac:dyDescent="0.2">
      <c r="A20" s="2282"/>
      <c r="B20" s="3417"/>
      <c r="C20" s="3417"/>
      <c r="D20" s="3417"/>
      <c r="E20" s="3417"/>
      <c r="F20" s="3417"/>
      <c r="G20" s="2282"/>
      <c r="H20" s="2282"/>
      <c r="I20" s="2282"/>
      <c r="J20" s="2282"/>
      <c r="K20" s="2282"/>
      <c r="L20" s="2282"/>
      <c r="M20" s="2282"/>
      <c r="AB20" s="1369" t="str">
        <f>Plan_Epandage!AI26</f>
        <v>Porcs classique - Fumier Sciure</v>
      </c>
      <c r="AC20" s="1369">
        <f t="shared" si="1"/>
        <v>1.53</v>
      </c>
    </row>
    <row r="21" spans="1:29" ht="90" customHeight="1" x14ac:dyDescent="0.2">
      <c r="A21" s="2282"/>
      <c r="B21" s="3417"/>
      <c r="C21" s="3417"/>
      <c r="D21" s="3417"/>
      <c r="E21" s="3417"/>
      <c r="F21" s="3417"/>
      <c r="G21" s="2282"/>
      <c r="H21" s="2282"/>
      <c r="I21" s="2282"/>
      <c r="J21" s="2282"/>
      <c r="K21" s="2282"/>
      <c r="L21" s="2282"/>
      <c r="M21" s="2282"/>
      <c r="AB21" s="1369" t="str">
        <f>Plan_Epandage!AI27</f>
        <v>Porcs classique - Fumier copeaux</v>
      </c>
      <c r="AC21" s="1369">
        <f t="shared" si="1"/>
        <v>1.8</v>
      </c>
    </row>
    <row r="22" spans="1:29" x14ac:dyDescent="0.2">
      <c r="A22" s="2282"/>
      <c r="B22" s="2282"/>
      <c r="C22" s="2282"/>
      <c r="D22" s="2282"/>
      <c r="E22" s="2282"/>
      <c r="F22" s="2282"/>
      <c r="G22" s="2282"/>
      <c r="H22" s="2282"/>
      <c r="I22" s="2282"/>
      <c r="J22" s="2282"/>
      <c r="K22" s="2282"/>
      <c r="L22" s="2282"/>
      <c r="M22" s="2282"/>
      <c r="AB22" s="1369" t="str">
        <f>Plan_Epandage!AI28</f>
        <v>Porcs classique - Compost copeaux</v>
      </c>
      <c r="AC22" s="1369">
        <f t="shared" si="1"/>
        <v>2.2230000000000003</v>
      </c>
    </row>
    <row r="23" spans="1:29" ht="15" x14ac:dyDescent="0.25">
      <c r="A23" s="2708" t="s">
        <v>1917</v>
      </c>
      <c r="B23" s="2282"/>
      <c r="C23" s="2282"/>
      <c r="D23" s="2282"/>
      <c r="E23" s="2282"/>
      <c r="F23" s="2282"/>
      <c r="G23" s="2282"/>
      <c r="H23" s="2282"/>
      <c r="I23" s="2282"/>
      <c r="J23" s="2282"/>
      <c r="K23" s="2282"/>
      <c r="L23" s="2282"/>
      <c r="M23" s="2282"/>
      <c r="AB23" s="1369" t="str">
        <f>Plan_Epandage!AI29</f>
        <v>Porcs classique - Autre compost</v>
      </c>
      <c r="AC23" s="1369">
        <f t="shared" si="1"/>
        <v>1.665</v>
      </c>
    </row>
    <row r="24" spans="1:29" x14ac:dyDescent="0.2">
      <c r="A24" s="2282"/>
      <c r="B24" s="2282"/>
      <c r="C24" s="2282"/>
      <c r="D24" s="2282"/>
      <c r="E24" s="2282"/>
      <c r="F24" s="2282"/>
      <c r="G24" s="2282"/>
      <c r="H24" s="2282"/>
      <c r="I24" s="2282"/>
      <c r="J24" s="2282"/>
      <c r="K24" s="2282"/>
      <c r="L24" s="2282"/>
      <c r="M24" s="2282"/>
      <c r="AB24" s="1369" t="str">
        <f>Plan_Epandage!AI30</f>
        <v>Volailles - Fumier poules et poulets</v>
      </c>
      <c r="AC24" s="1369">
        <v>0.7</v>
      </c>
    </row>
    <row r="25" spans="1:29" ht="15" x14ac:dyDescent="0.25">
      <c r="A25" s="2282"/>
      <c r="B25" s="2713" t="s">
        <v>1812</v>
      </c>
      <c r="C25" s="2714" t="s">
        <v>625</v>
      </c>
      <c r="D25" s="2714" t="s">
        <v>187</v>
      </c>
      <c r="E25" s="2714" t="s">
        <v>665</v>
      </c>
      <c r="F25" s="2282"/>
      <c r="G25" s="2282"/>
      <c r="H25" s="2713" t="s">
        <v>1909</v>
      </c>
      <c r="I25" s="2714" t="s">
        <v>625</v>
      </c>
      <c r="J25" s="2714" t="s">
        <v>187</v>
      </c>
      <c r="K25" s="2714" t="s">
        <v>665</v>
      </c>
      <c r="L25" s="2282"/>
      <c r="M25" s="2282"/>
      <c r="AB25" s="1369" t="str">
        <f>Plan_Epandage!AI31</f>
        <v>Volailles - Fumier dindes</v>
      </c>
      <c r="AC25" s="1369">
        <v>0.8</v>
      </c>
    </row>
    <row r="26" spans="1:29" x14ac:dyDescent="0.2">
      <c r="A26" s="2282"/>
      <c r="B26" s="2627" t="s">
        <v>1822</v>
      </c>
      <c r="C26" s="2628">
        <f>Ferti_SAU!F47</f>
        <v>5440</v>
      </c>
      <c r="D26" s="2628">
        <f>Ferti_SAU!G47</f>
        <v>3545</v>
      </c>
      <c r="E26" s="2628">
        <f>Ferti_SAU!H47</f>
        <v>8955</v>
      </c>
      <c r="F26" s="2282"/>
      <c r="G26" s="2282"/>
      <c r="H26" s="2627" t="s">
        <v>1107</v>
      </c>
      <c r="I26" s="2628">
        <f>I10</f>
        <v>0</v>
      </c>
      <c r="J26" s="2628">
        <f>J10</f>
        <v>0</v>
      </c>
      <c r="K26" s="2628">
        <f>K10</f>
        <v>0</v>
      </c>
      <c r="L26" s="2282"/>
      <c r="M26" s="2282"/>
      <c r="AB26" s="1369" t="str">
        <f>Plan_Epandage!AI32</f>
        <v>Volailles - Fumier autres volailles</v>
      </c>
      <c r="AC26" s="1369">
        <v>0.65</v>
      </c>
    </row>
    <row r="27" spans="1:29" x14ac:dyDescent="0.2">
      <c r="A27" s="2282"/>
      <c r="B27" s="2627" t="s">
        <v>1813</v>
      </c>
      <c r="C27" s="2628">
        <f>C10</f>
        <v>0</v>
      </c>
      <c r="D27" s="2628">
        <f>D10</f>
        <v>0</v>
      </c>
      <c r="E27" s="2628">
        <f>E10</f>
        <v>0</v>
      </c>
      <c r="F27" s="2282"/>
      <c r="G27" s="2282"/>
      <c r="H27" s="2627" t="s">
        <v>1962</v>
      </c>
      <c r="I27" s="2628">
        <f>SUM(Saisie_Bilan!AE123:AE134)</f>
        <v>150</v>
      </c>
      <c r="J27" s="2628">
        <f>SUM(Saisie_Bilan!AF123:AF134)</f>
        <v>70</v>
      </c>
      <c r="K27" s="2628">
        <f>SUM(Saisie_Bilan!AG123:AG134)</f>
        <v>200</v>
      </c>
      <c r="L27" s="2282"/>
      <c r="M27" s="2282"/>
      <c r="AB27" s="1369" t="str">
        <f>Plan_Epandage!AI33</f>
        <v>Volailles - Composts</v>
      </c>
      <c r="AC27" s="1369">
        <v>1.1499999999999999</v>
      </c>
    </row>
    <row r="28" spans="1:29" x14ac:dyDescent="0.2">
      <c r="A28" s="2282"/>
      <c r="B28" s="2627" t="s">
        <v>1821</v>
      </c>
      <c r="C28" s="2628"/>
      <c r="D28" s="2628"/>
      <c r="E28" s="2628"/>
      <c r="F28" s="2282"/>
      <c r="G28" s="2282"/>
      <c r="H28" s="2350" t="s">
        <v>1963</v>
      </c>
      <c r="I28" s="2628">
        <f>SUM(Saisie_Bilan!AJ137:AJ152)</f>
        <v>2333.5049999999997</v>
      </c>
      <c r="J28" s="2628">
        <f>SUM(Saisie_Bilan!AK137:AK152)</f>
        <v>1066.9349999999999</v>
      </c>
      <c r="K28" s="2628">
        <f>SUM(Saisie_Bilan!AL137:AL152)</f>
        <v>720.06000000000006</v>
      </c>
      <c r="L28" s="2282"/>
      <c r="M28" s="2282"/>
      <c r="AB28" s="1369" t="str">
        <f>Plan_Epandage!AI34</f>
        <v>Volailles - Lisier</v>
      </c>
      <c r="AC28" s="1369">
        <v>0.5</v>
      </c>
    </row>
    <row r="29" spans="1:29" x14ac:dyDescent="0.2">
      <c r="A29" s="2282"/>
      <c r="B29" s="2350" t="s">
        <v>1815</v>
      </c>
      <c r="C29" s="2628">
        <f>0.8*SUM(Autonomie!K36:K43)</f>
        <v>352</v>
      </c>
      <c r="D29" s="2628"/>
      <c r="E29" s="2720"/>
      <c r="F29" s="2282"/>
      <c r="G29" s="2282"/>
      <c r="H29" s="2350" t="s">
        <v>1964</v>
      </c>
      <c r="I29" s="2628">
        <f>I11</f>
        <v>0</v>
      </c>
      <c r="J29" s="2628">
        <f>J11</f>
        <v>0</v>
      </c>
      <c r="K29" s="2628">
        <f>K11</f>
        <v>0</v>
      </c>
      <c r="L29" s="2282"/>
      <c r="M29" s="2282"/>
      <c r="AB29" s="1369" t="str">
        <f>Plan_Epandage!AI35</f>
        <v>Ovins - Fumiers et composts</v>
      </c>
      <c r="AC29" s="1369">
        <v>1.8</v>
      </c>
    </row>
    <row r="30" spans="1:29" x14ac:dyDescent="0.2">
      <c r="A30" s="2282"/>
      <c r="B30" s="2350" t="s">
        <v>1814</v>
      </c>
      <c r="C30" s="2628">
        <f>0.01*Saisie_Bilan!E39*0.8*SUM(Autonomie!K21:K24)</f>
        <v>1071.0630000000001</v>
      </c>
      <c r="D30" s="2720"/>
      <c r="E30" s="2720"/>
      <c r="F30" s="2282"/>
      <c r="G30" s="2282"/>
      <c r="H30" s="2715" t="s">
        <v>1895</v>
      </c>
      <c r="I30" s="2716">
        <f>SUM(I26:I29)</f>
        <v>2483.5049999999997</v>
      </c>
      <c r="J30" s="2716">
        <f>SUM(J26:J29)</f>
        <v>1136.9349999999999</v>
      </c>
      <c r="K30" s="2716">
        <f>SUM(K26:K29)</f>
        <v>920.06000000000006</v>
      </c>
      <c r="L30" s="2282"/>
      <c r="M30" s="2282"/>
      <c r="AB30" s="1369" t="str">
        <f>Plan_Epandage!AI36</f>
        <v>Lapins</v>
      </c>
      <c r="AC30" s="1369">
        <v>1.43</v>
      </c>
    </row>
    <row r="31" spans="1:29" x14ac:dyDescent="0.2">
      <c r="A31" s="2282"/>
      <c r="B31" s="2350" t="s">
        <v>1816</v>
      </c>
      <c r="C31" s="2720"/>
      <c r="D31" s="2720"/>
      <c r="E31" s="2720"/>
      <c r="F31" s="2282"/>
      <c r="G31" s="2282"/>
      <c r="H31" s="2700" t="s">
        <v>1965</v>
      </c>
      <c r="I31" s="2723">
        <f>I30/SA_SAUnette</f>
        <v>27.594499999999996</v>
      </c>
      <c r="J31" s="2723">
        <f>J30/SA_SAUnette</f>
        <v>12.63261111111111</v>
      </c>
      <c r="K31" s="2723">
        <f>K30/SA_SAUnette</f>
        <v>10.222888888888889</v>
      </c>
      <c r="L31" s="2282"/>
      <c r="M31" s="2282"/>
      <c r="AB31" s="1369" t="str">
        <f>Plan_Epandage!AI37</f>
        <v>Digestats de méthanis. Liquide</v>
      </c>
      <c r="AC31" s="1369">
        <v>1.5</v>
      </c>
    </row>
    <row r="32" spans="1:29" x14ac:dyDescent="0.2">
      <c r="A32" s="2282"/>
      <c r="B32" s="2627" t="s">
        <v>2340</v>
      </c>
      <c r="C32" s="2628">
        <f>Achats!G93+Achats!G110+Saisie_Bilan!$AP$41</f>
        <v>1910.8000000000002</v>
      </c>
      <c r="D32" s="2628">
        <f>Achats!H93+Achats!H110+Saisie_Bilan!$AQ$41</f>
        <v>699.5</v>
      </c>
      <c r="E32" s="2628">
        <f>Achats!AE93+Achats!AE110+Saisie_Bilan!$AR$41</f>
        <v>904.9</v>
      </c>
      <c r="F32" s="2282"/>
      <c r="G32" s="2282"/>
      <c r="H32" s="2718" t="s">
        <v>1966</v>
      </c>
      <c r="I32" s="2724">
        <f>I30/SA_SAUtotale</f>
        <v>26.142157894736837</v>
      </c>
      <c r="J32" s="2724">
        <f>J30/SA_SAUtotale</f>
        <v>11.967736842105262</v>
      </c>
      <c r="K32" s="2724">
        <f>K30/SA_SAUtotale</f>
        <v>9.6848421052631579</v>
      </c>
      <c r="L32" s="2282"/>
      <c r="M32" s="2282"/>
      <c r="AB32" s="1369" t="str">
        <f>Plan_Epandage!AI38</f>
        <v>Digestats de méthanis. Solide</v>
      </c>
      <c r="AC32" s="1369">
        <v>1.1000000000000001</v>
      </c>
    </row>
    <row r="33" spans="1:29" x14ac:dyDescent="0.2">
      <c r="A33" s="2282"/>
      <c r="B33" s="2627" t="s">
        <v>2079</v>
      </c>
      <c r="C33" s="2628">
        <f>Saisie_Bilan!AP49</f>
        <v>56</v>
      </c>
      <c r="D33" s="2628">
        <f>Saisie_Bilan!AQ49</f>
        <v>31.5</v>
      </c>
      <c r="E33" s="2628">
        <f>Saisie_Bilan!AR49</f>
        <v>23.25</v>
      </c>
      <c r="F33" s="2282"/>
      <c r="G33" s="2282"/>
      <c r="H33" s="2282"/>
      <c r="I33" s="2289"/>
      <c r="J33" s="2289"/>
      <c r="K33" s="2289"/>
      <c r="L33" s="2282"/>
      <c r="M33" s="2282"/>
      <c r="AB33" s="1369" t="str">
        <f>Plan_Epandage!AI39</f>
        <v>Digestats de méthanis. Compost</v>
      </c>
      <c r="AC33" s="1369">
        <v>1.3</v>
      </c>
    </row>
    <row r="34" spans="1:29" x14ac:dyDescent="0.2">
      <c r="A34" s="2282"/>
      <c r="B34" s="2350" t="s">
        <v>1817</v>
      </c>
      <c r="C34" s="2628">
        <f>SUM(Saisie_Bilan!AE47:AE56)</f>
        <v>0</v>
      </c>
      <c r="D34" s="2628">
        <f>SUM(Saisie_Bilan!AF47:AF56)</f>
        <v>0</v>
      </c>
      <c r="E34" s="2628">
        <f>SUM(Saisie_Bilan!AG47:AG56)</f>
        <v>0</v>
      </c>
      <c r="F34" s="2282"/>
      <c r="G34" s="2282"/>
      <c r="H34" s="2282"/>
      <c r="I34" s="2289"/>
      <c r="J34" s="2289"/>
      <c r="K34" s="2289"/>
      <c r="L34" s="2282"/>
      <c r="M34" s="2282"/>
    </row>
    <row r="35" spans="1:29" ht="15" x14ac:dyDescent="0.25">
      <c r="A35" s="2282"/>
      <c r="B35" s="2350" t="s">
        <v>1818</v>
      </c>
      <c r="C35" s="2628">
        <f>SUM(Saisie_Bilan!AE59:AE98)</f>
        <v>0</v>
      </c>
      <c r="D35" s="2628">
        <f>SUM(Saisie_Bilan!AF59:AF98)</f>
        <v>0</v>
      </c>
      <c r="E35" s="2628">
        <f>SUM(Saisie_Bilan!AG59:AG98)</f>
        <v>0</v>
      </c>
      <c r="F35" s="2282"/>
      <c r="G35" s="2282"/>
      <c r="H35" s="2713" t="s">
        <v>2300</v>
      </c>
      <c r="I35" s="2725" t="s">
        <v>625</v>
      </c>
      <c r="J35" s="2725" t="s">
        <v>187</v>
      </c>
      <c r="K35" s="2725" t="s">
        <v>665</v>
      </c>
      <c r="L35" s="2282"/>
      <c r="M35" s="2282"/>
    </row>
    <row r="36" spans="1:29" x14ac:dyDescent="0.2">
      <c r="A36" s="2282"/>
      <c r="B36" s="2350" t="s">
        <v>1819</v>
      </c>
      <c r="C36" s="2628">
        <f>SUM(Saisie_Bilan!AE101:AE106)</f>
        <v>0</v>
      </c>
      <c r="D36" s="2628">
        <f>SUM(Saisie_Bilan!AF101:AF106)</f>
        <v>0</v>
      </c>
      <c r="E36" s="2628">
        <f>SUM(Saisie_Bilan!AG101:AG106)</f>
        <v>0</v>
      </c>
      <c r="F36" s="2282"/>
      <c r="G36" s="2282"/>
      <c r="H36" s="2715" t="s">
        <v>1809</v>
      </c>
      <c r="I36" s="2716">
        <f>C39-I30</f>
        <v>7426.358000000002</v>
      </c>
      <c r="J36" s="2716">
        <f>D39-J30</f>
        <v>3139.0650000000001</v>
      </c>
      <c r="K36" s="2716">
        <f>E39-K30</f>
        <v>8963.09</v>
      </c>
      <c r="L36" s="2282"/>
      <c r="M36" s="2282"/>
    </row>
    <row r="37" spans="1:29" x14ac:dyDescent="0.2">
      <c r="A37" s="2282"/>
      <c r="B37" s="2627" t="s">
        <v>1884</v>
      </c>
      <c r="C37" s="2628">
        <f>SUM(Saisie_Bilan!AE110:AE115)</f>
        <v>0</v>
      </c>
      <c r="D37" s="2628">
        <f>SUM(Saisie_Bilan!AF110:AF115)</f>
        <v>0</v>
      </c>
      <c r="E37" s="2628">
        <f>SUM(Saisie_Bilan!AG110:AG115)</f>
        <v>0</v>
      </c>
      <c r="F37" s="2282"/>
      <c r="G37" s="2282"/>
      <c r="H37" s="2700" t="s">
        <v>1810</v>
      </c>
      <c r="I37" s="2723">
        <f>I36/SA_SAUnette</f>
        <v>82.515088888888911</v>
      </c>
      <c r="J37" s="2723">
        <f>J36/SA_SAUnette</f>
        <v>34.878500000000003</v>
      </c>
      <c r="K37" s="2723">
        <f>K36/SA_SAUnette</f>
        <v>99.589888888888893</v>
      </c>
      <c r="L37" s="2282"/>
      <c r="M37" s="2282"/>
    </row>
    <row r="38" spans="1:29" x14ac:dyDescent="0.2">
      <c r="A38" s="2282"/>
      <c r="B38" s="2583" t="s">
        <v>1820</v>
      </c>
      <c r="C38" s="2584">
        <f>VLOOKUP(Saisie_Bilan!C118,Saisie_Bilan!AH118:AI120,2,FALSE)*SA_SAUnette</f>
        <v>1080</v>
      </c>
      <c r="D38" s="2721"/>
      <c r="E38" s="2721"/>
      <c r="F38" s="2282"/>
      <c r="G38" s="2282"/>
      <c r="H38" s="2718" t="s">
        <v>1811</v>
      </c>
      <c r="I38" s="2724">
        <f>I36/SA_SAUtotale</f>
        <v>78.172189473684227</v>
      </c>
      <c r="J38" s="2724">
        <f>J36/SA_SAUtotale</f>
        <v>33.042789473684209</v>
      </c>
      <c r="K38" s="2724">
        <f>K36/SA_SAUtotale</f>
        <v>94.348315789473688</v>
      </c>
      <c r="L38" s="2282"/>
      <c r="M38" s="2282"/>
    </row>
    <row r="39" spans="1:29" x14ac:dyDescent="0.2">
      <c r="A39" s="2282"/>
      <c r="B39" s="2715" t="s">
        <v>1895</v>
      </c>
      <c r="C39" s="2716">
        <f>SUM(C26:C38)</f>
        <v>9909.8630000000012</v>
      </c>
      <c r="D39" s="2716">
        <f>SUM(D26:D38)</f>
        <v>4276</v>
      </c>
      <c r="E39" s="2716">
        <f>SUM(E26:E38)</f>
        <v>9883.15</v>
      </c>
      <c r="F39" s="2282"/>
      <c r="G39" s="2282"/>
      <c r="H39" s="2350"/>
      <c r="I39" s="2350"/>
      <c r="J39" s="2350"/>
      <c r="K39" s="2350"/>
      <c r="L39" s="2282"/>
      <c r="M39" s="2282"/>
    </row>
    <row r="40" spans="1:29" x14ac:dyDescent="0.2">
      <c r="A40" s="2282"/>
      <c r="B40" s="2700" t="s">
        <v>1896</v>
      </c>
      <c r="C40" s="2722">
        <f>C39/SA_SAUnette</f>
        <v>110.10958888888891</v>
      </c>
      <c r="D40" s="2722">
        <f>D39/SA_SAUnette</f>
        <v>47.511111111111113</v>
      </c>
      <c r="E40" s="2722">
        <f>E39/SA_SAUnette</f>
        <v>109.81277777777777</v>
      </c>
      <c r="F40" s="2282"/>
      <c r="G40" s="2282"/>
      <c r="H40" s="2700" t="s">
        <v>1975</v>
      </c>
      <c r="I40" s="2726">
        <f>I30/C39</f>
        <v>0.25060941811203641</v>
      </c>
      <c r="J40" s="2726">
        <f>J30/D39</f>
        <v>0.26588751169317115</v>
      </c>
      <c r="K40" s="2726">
        <f>K30/E39</f>
        <v>9.3093801065449788E-2</v>
      </c>
      <c r="L40" s="2282"/>
      <c r="M40" s="2282"/>
    </row>
    <row r="41" spans="1:29" x14ac:dyDescent="0.2">
      <c r="A41" s="2282"/>
      <c r="B41" s="2700" t="s">
        <v>1897</v>
      </c>
      <c r="C41" s="2722">
        <f>C39/SA_SAUtotale</f>
        <v>104.31434736842107</v>
      </c>
      <c r="D41" s="2722">
        <f>D39/SA_SAUtotale</f>
        <v>45.010526315789477</v>
      </c>
      <c r="E41" s="2722">
        <f>E39/SA_SAUtotale</f>
        <v>104.03315789473683</v>
      </c>
      <c r="F41" s="2282"/>
      <c r="G41" s="2282"/>
      <c r="H41" s="2700" t="s">
        <v>1976</v>
      </c>
      <c r="I41" s="2726">
        <f>IF(I36&lt;=0,"",I36/I30)</f>
        <v>2.9902730213951667</v>
      </c>
      <c r="J41" s="2726">
        <f>IF(J36&lt;=0,"",J36/J30)</f>
        <v>2.760988974743499</v>
      </c>
      <c r="K41" s="2726">
        <f>IF(K36&lt;=0,"",K36/K30)</f>
        <v>9.7418537921439903</v>
      </c>
      <c r="L41" s="2282"/>
      <c r="M41" s="2282"/>
    </row>
    <row r="42" spans="1:29" x14ac:dyDescent="0.2">
      <c r="A42" s="2282"/>
      <c r="B42" s="2282"/>
      <c r="C42" s="2282"/>
      <c r="D42" s="2282"/>
      <c r="E42" s="2282"/>
      <c r="F42" s="2282"/>
      <c r="G42" s="2282"/>
      <c r="H42" s="2282"/>
      <c r="I42" s="2282"/>
      <c r="J42" s="2282"/>
      <c r="K42" s="2282"/>
      <c r="L42" s="2282"/>
      <c r="M42" s="2282"/>
    </row>
    <row r="43" spans="1:29" ht="88.5" customHeight="1" x14ac:dyDescent="0.2">
      <c r="A43" s="2282"/>
      <c r="B43" s="3418" t="s">
        <v>2420</v>
      </c>
      <c r="C43" s="3419"/>
      <c r="D43" s="3419"/>
      <c r="E43" s="3419"/>
      <c r="F43" s="3419"/>
      <c r="G43" s="3419"/>
      <c r="H43" s="3419"/>
      <c r="I43" s="3419"/>
      <c r="J43" s="3419"/>
      <c r="K43" s="3419"/>
      <c r="L43" s="2282"/>
      <c r="M43" s="2282"/>
    </row>
    <row r="44" spans="1:29" ht="69.75" customHeight="1" x14ac:dyDescent="0.2">
      <c r="A44" s="2282"/>
      <c r="B44" s="3418" t="s">
        <v>2301</v>
      </c>
      <c r="C44" s="3419"/>
      <c r="D44" s="3419"/>
      <c r="E44" s="3419"/>
      <c r="F44" s="3419"/>
      <c r="G44" s="3419"/>
      <c r="H44" s="3419"/>
      <c r="I44" s="3419"/>
      <c r="J44" s="3419"/>
      <c r="K44" s="3419"/>
      <c r="L44" s="2282"/>
      <c r="M44" s="2282"/>
    </row>
    <row r="45" spans="1:29" ht="45" customHeight="1" x14ac:dyDescent="0.2">
      <c r="A45" s="2282"/>
      <c r="B45" s="3418" t="s">
        <v>2414</v>
      </c>
      <c r="C45" s="3419"/>
      <c r="D45" s="3419"/>
      <c r="E45" s="3419"/>
      <c r="F45" s="3419"/>
      <c r="G45" s="3419"/>
      <c r="H45" s="3419"/>
      <c r="I45" s="3419"/>
      <c r="J45" s="3419"/>
      <c r="K45" s="3419"/>
      <c r="L45" s="2282"/>
      <c r="M45" s="2282"/>
    </row>
    <row r="46" spans="1:29" ht="15" customHeight="1" x14ac:dyDescent="0.2">
      <c r="A46" s="2282"/>
      <c r="B46" s="3414" t="s">
        <v>2421</v>
      </c>
      <c r="C46" s="3414"/>
      <c r="D46" s="3414"/>
      <c r="E46" s="3414"/>
      <c r="F46" s="3414" t="s">
        <v>2413</v>
      </c>
      <c r="G46" s="3414"/>
      <c r="H46" s="3414"/>
      <c r="I46" s="3414"/>
      <c r="J46" s="3414"/>
      <c r="K46" s="3414"/>
      <c r="L46" s="2282"/>
      <c r="M46" s="2282"/>
    </row>
    <row r="47" spans="1:29" ht="17.25" customHeight="1" x14ac:dyDescent="0.2">
      <c r="A47" s="2282"/>
      <c r="B47" s="3415" t="s">
        <v>2422</v>
      </c>
      <c r="C47" s="3415"/>
      <c r="D47" s="3415"/>
      <c r="E47" s="3415"/>
      <c r="F47" s="3415" t="s">
        <v>2323</v>
      </c>
      <c r="G47" s="3415"/>
      <c r="H47" s="3415"/>
      <c r="I47" s="3415"/>
      <c r="J47" s="3415"/>
      <c r="K47" s="3415"/>
      <c r="L47" s="2282"/>
      <c r="M47" s="2282"/>
    </row>
    <row r="48" spans="1:29" ht="28.5" customHeight="1" x14ac:dyDescent="0.2">
      <c r="A48" s="2282"/>
      <c r="B48" s="3416" t="s">
        <v>2423</v>
      </c>
      <c r="C48" s="3416"/>
      <c r="D48" s="3416"/>
      <c r="E48" s="3416"/>
      <c r="F48" s="3416" t="s">
        <v>2324</v>
      </c>
      <c r="G48" s="3416"/>
      <c r="H48" s="3416"/>
      <c r="I48" s="3416"/>
      <c r="J48" s="3416"/>
      <c r="K48" s="3416"/>
      <c r="L48" s="2282"/>
      <c r="M48" s="2282"/>
    </row>
    <row r="49" spans="1:13" ht="31.5" customHeight="1" x14ac:dyDescent="0.2">
      <c r="A49" s="2282"/>
      <c r="B49" s="3418" t="s">
        <v>2348</v>
      </c>
      <c r="C49" s="3419"/>
      <c r="D49" s="3419"/>
      <c r="E49" s="3419"/>
      <c r="F49" s="3419"/>
      <c r="G49" s="3419"/>
      <c r="H49" s="3419"/>
      <c r="I49" s="3419"/>
      <c r="J49" s="3419"/>
      <c r="K49" s="3419"/>
      <c r="L49" s="2282"/>
      <c r="M49" s="2282"/>
    </row>
    <row r="50" spans="1:13" ht="83.25" customHeight="1" x14ac:dyDescent="0.2">
      <c r="A50" s="2282"/>
      <c r="B50" s="3420" t="s">
        <v>2329</v>
      </c>
      <c r="C50" s="3421"/>
      <c r="D50" s="3421"/>
      <c r="E50" s="3421"/>
      <c r="F50" s="3421"/>
      <c r="G50" s="3421"/>
      <c r="H50" s="3421"/>
      <c r="I50" s="3421"/>
      <c r="J50" s="3421"/>
      <c r="K50" s="3421"/>
      <c r="L50" s="2282"/>
      <c r="M50" s="2282"/>
    </row>
    <row r="51" spans="1:13" ht="15" customHeight="1" x14ac:dyDescent="0.2">
      <c r="A51" s="2282"/>
      <c r="B51" s="3418"/>
      <c r="C51" s="3419"/>
      <c r="D51" s="3419"/>
      <c r="E51" s="3419"/>
      <c r="F51" s="3419"/>
      <c r="G51" s="3419"/>
      <c r="H51" s="3419"/>
      <c r="I51" s="3419"/>
      <c r="J51" s="3419"/>
      <c r="K51" s="3419"/>
      <c r="L51" s="2282"/>
      <c r="M51" s="2282"/>
    </row>
    <row r="52" spans="1:13" ht="15" customHeight="1" x14ac:dyDescent="0.2">
      <c r="A52" s="2282"/>
      <c r="B52" s="3418"/>
      <c r="C52" s="3419"/>
      <c r="D52" s="3419"/>
      <c r="E52" s="3419"/>
      <c r="F52" s="3419"/>
      <c r="G52" s="3419"/>
      <c r="H52" s="3419"/>
      <c r="I52" s="3419"/>
      <c r="J52" s="3419"/>
      <c r="K52" s="3419"/>
      <c r="L52" s="2282"/>
      <c r="M52" s="2282"/>
    </row>
    <row r="53" spans="1:13" ht="15" customHeight="1" x14ac:dyDescent="0.2">
      <c r="A53" s="2282"/>
      <c r="B53" s="3418"/>
      <c r="C53" s="3419"/>
      <c r="D53" s="3419"/>
      <c r="E53" s="3419"/>
      <c r="F53" s="3419"/>
      <c r="G53" s="3419"/>
      <c r="H53" s="3419"/>
      <c r="I53" s="3419"/>
      <c r="J53" s="3419"/>
      <c r="K53" s="3419"/>
      <c r="L53" s="2282"/>
      <c r="M53" s="2282"/>
    </row>
    <row r="54" spans="1:13" ht="15" customHeight="1" x14ac:dyDescent="0.2"/>
  </sheetData>
  <sheetProtection algorithmName="SHA-512" hashValue="WkzeqGN2yObJ3UzlS+UrOOTW9M5R+t3PtVkgOiOOUvctt67fyPO+3axnbNKlOEYN+qbBCJgirzfv5qzw/wyjwQ==" saltValue="iYxZS4fzUIJrx4Zq92p22Q==" spinCount="100000" sheet="1" objects="1" scenarios="1"/>
  <mergeCells count="16">
    <mergeCell ref="B52:K52"/>
    <mergeCell ref="B53:K53"/>
    <mergeCell ref="B48:E48"/>
    <mergeCell ref="B51:K51"/>
    <mergeCell ref="B50:K50"/>
    <mergeCell ref="B49:K49"/>
    <mergeCell ref="A1:I1"/>
    <mergeCell ref="B16:F21"/>
    <mergeCell ref="B43:K43"/>
    <mergeCell ref="B44:K44"/>
    <mergeCell ref="B45:K45"/>
    <mergeCell ref="F46:K46"/>
    <mergeCell ref="F47:K47"/>
    <mergeCell ref="F48:K48"/>
    <mergeCell ref="B46:E46"/>
    <mergeCell ref="B47:E47"/>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41" r:id="rId4" name="Button 1">
              <controlPr defaultSize="0" print="0" autoFill="0" autoPict="0" macro="[0]!Retour_Presentation">
                <anchor moveWithCells="1" sizeWithCells="1">
                  <from>
                    <xdr:col>9</xdr:col>
                    <xdr:colOff>371475</xdr:colOff>
                    <xdr:row>0</xdr:row>
                    <xdr:rowOff>0</xdr:rowOff>
                  </from>
                  <to>
                    <xdr:col>11</xdr:col>
                    <xdr:colOff>723900</xdr:colOff>
                    <xdr:row>3</xdr:row>
                    <xdr:rowOff>28575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5">
    <tabColor theme="4" tint="-0.249977111117893"/>
  </sheetPr>
  <dimension ref="A1:BZ50"/>
  <sheetViews>
    <sheetView topLeftCell="A29" workbookViewId="0">
      <selection activeCell="D37" sqref="D37"/>
    </sheetView>
  </sheetViews>
  <sheetFormatPr baseColWidth="10" defaultRowHeight="12.75" x14ac:dyDescent="0.2"/>
  <cols>
    <col min="1" max="1" width="1.85546875" customWidth="1"/>
    <col min="2" max="2" width="40.42578125" customWidth="1"/>
    <col min="3" max="3" width="10.85546875" customWidth="1"/>
    <col min="4" max="5" width="7.7109375" customWidth="1"/>
    <col min="6" max="6" width="2.85546875" customWidth="1"/>
    <col min="7" max="7" width="3.28515625" customWidth="1"/>
    <col min="8" max="8" width="37.42578125" customWidth="1"/>
    <col min="9" max="11" width="9.7109375" customWidth="1"/>
    <col min="27" max="27" width="32.85546875" hidden="1" customWidth="1"/>
    <col min="28" max="28" width="31.5703125" hidden="1" customWidth="1"/>
    <col min="29" max="29" width="6.85546875" hidden="1" customWidth="1"/>
    <col min="30" max="30" width="9.42578125" hidden="1" customWidth="1"/>
    <col min="31" max="33" width="7.42578125" hidden="1" customWidth="1"/>
    <col min="34" max="34" width="5.7109375" hidden="1" customWidth="1"/>
    <col min="35" max="35" width="5.5703125" hidden="1" customWidth="1"/>
    <col min="36" max="36" width="28.85546875" hidden="1" customWidth="1"/>
    <col min="37" max="39" width="11.42578125" hidden="1" customWidth="1"/>
    <col min="40" max="45" width="7.140625" hidden="1" customWidth="1"/>
    <col min="46" max="78" width="11.42578125" hidden="1" customWidth="1"/>
  </cols>
  <sheetData>
    <row r="1" spans="1:33" ht="18" x14ac:dyDescent="0.2">
      <c r="A1" s="3123" t="s">
        <v>2320</v>
      </c>
      <c r="B1" s="3123"/>
      <c r="C1" s="3123"/>
      <c r="D1" s="3123"/>
      <c r="E1" s="3123"/>
      <c r="F1" s="3123"/>
      <c r="G1" s="3123"/>
      <c r="H1" s="3123"/>
      <c r="I1" s="3123"/>
      <c r="J1" s="2282"/>
      <c r="K1" s="2282"/>
      <c r="L1" s="2282"/>
      <c r="M1" s="2282"/>
    </row>
    <row r="2" spans="1:33" ht="28.5" customHeight="1" x14ac:dyDescent="0.4">
      <c r="A2" s="2282"/>
      <c r="B2" s="3422" t="s">
        <v>2114</v>
      </c>
      <c r="C2" s="3422"/>
      <c r="D2" s="3422"/>
      <c r="E2" s="3422"/>
      <c r="F2" s="3422"/>
      <c r="G2" s="3422"/>
      <c r="H2" s="3422"/>
      <c r="I2" s="3422"/>
      <c r="J2" s="2282"/>
      <c r="K2" s="2282"/>
      <c r="L2" s="2282"/>
      <c r="M2" s="2282"/>
    </row>
    <row r="3" spans="1:33" x14ac:dyDescent="0.2">
      <c r="A3" s="2282"/>
      <c r="B3" s="2282"/>
      <c r="C3" s="2282"/>
      <c r="D3" s="2282"/>
      <c r="E3" s="2282"/>
      <c r="F3" s="2282"/>
      <c r="G3" s="2282"/>
      <c r="H3" s="2282"/>
      <c r="I3" s="2282"/>
      <c r="J3" s="2282"/>
      <c r="K3" s="2282"/>
      <c r="L3" s="2282"/>
      <c r="M3" s="2282"/>
    </row>
    <row r="4" spans="1:33" x14ac:dyDescent="0.2">
      <c r="A4" s="2282"/>
      <c r="B4" s="2282"/>
      <c r="C4" s="2282"/>
      <c r="D4" s="2282"/>
      <c r="E4" s="2282"/>
      <c r="F4" s="2282"/>
      <c r="G4" s="2282"/>
      <c r="H4" s="2282"/>
      <c r="I4" s="2282"/>
      <c r="J4" s="2282"/>
      <c r="K4" s="2282"/>
      <c r="L4" s="2282"/>
      <c r="M4" s="2282"/>
    </row>
    <row r="5" spans="1:33" x14ac:dyDescent="0.2">
      <c r="A5" s="2282"/>
      <c r="B5" s="2282"/>
      <c r="C5" s="2282"/>
      <c r="D5" s="2282"/>
      <c r="E5" s="2282"/>
      <c r="F5" s="2282"/>
      <c r="G5" s="2282"/>
      <c r="H5" s="2282"/>
      <c r="I5" s="2282"/>
      <c r="J5" s="2282"/>
      <c r="K5" s="2282"/>
      <c r="L5" s="2282"/>
      <c r="M5" s="2282"/>
    </row>
    <row r="6" spans="1:33" ht="15" x14ac:dyDescent="0.25">
      <c r="A6" s="2708" t="s">
        <v>2126</v>
      </c>
      <c r="B6" s="2495"/>
      <c r="C6" s="2282"/>
      <c r="D6" s="2282"/>
      <c r="E6" s="2282"/>
      <c r="F6" s="2282"/>
      <c r="G6" s="2282"/>
      <c r="H6" s="2282"/>
      <c r="I6" s="2282"/>
      <c r="J6" s="2282"/>
      <c r="K6" s="2282"/>
      <c r="L6" s="2282"/>
      <c r="M6" s="2282"/>
    </row>
    <row r="7" spans="1:33" x14ac:dyDescent="0.2">
      <c r="A7" s="2282"/>
      <c r="B7" s="2282"/>
      <c r="C7" s="2282"/>
      <c r="D7" s="2282"/>
      <c r="E7" s="2282"/>
      <c r="F7" s="2282"/>
      <c r="G7" s="2282"/>
      <c r="H7" s="2282"/>
      <c r="I7" s="2282"/>
      <c r="J7" s="2282"/>
      <c r="K7" s="2282"/>
      <c r="L7" s="2282"/>
      <c r="M7" s="2282"/>
    </row>
    <row r="8" spans="1:33" ht="15" x14ac:dyDescent="0.25">
      <c r="A8" s="2282"/>
      <c r="B8" s="2713" t="s">
        <v>1807</v>
      </c>
      <c r="C8" s="2714" t="s">
        <v>625</v>
      </c>
      <c r="D8" s="2714" t="s">
        <v>187</v>
      </c>
      <c r="E8" s="2714" t="s">
        <v>665</v>
      </c>
      <c r="F8" s="2573"/>
      <c r="G8" s="2282"/>
      <c r="H8" s="2713" t="s">
        <v>1808</v>
      </c>
      <c r="I8" s="2714" t="s">
        <v>625</v>
      </c>
      <c r="J8" s="2714" t="s">
        <v>187</v>
      </c>
      <c r="K8" s="2714" t="s">
        <v>665</v>
      </c>
      <c r="L8" s="2282"/>
      <c r="M8" s="2282"/>
      <c r="AA8" s="1521" t="s">
        <v>1795</v>
      </c>
      <c r="AE8" s="1442"/>
    </row>
    <row r="9" spans="1:33" x14ac:dyDescent="0.2">
      <c r="A9" s="2282"/>
      <c r="B9" s="2627" t="s">
        <v>2121</v>
      </c>
      <c r="C9" s="2628">
        <f>VLOOKUP(AE9,AF9:AG12,2)</f>
        <v>3332.5449503130094</v>
      </c>
      <c r="D9" s="2628">
        <f>Ferti_SAU!D25/0.85</f>
        <v>1892.9411764705883</v>
      </c>
      <c r="E9" s="2628">
        <f>Ferti_SAU!E25</f>
        <v>5388</v>
      </c>
      <c r="F9" s="2626"/>
      <c r="G9" s="2282"/>
      <c r="H9" s="2627" t="s">
        <v>2122</v>
      </c>
      <c r="I9" s="2628"/>
      <c r="J9" s="2628"/>
      <c r="K9" s="2633"/>
      <c r="L9" s="2282"/>
      <c r="M9" s="2282"/>
      <c r="AB9" s="1369" t="str">
        <f>Plan_Epandage!AI15</f>
        <v>Bovins - Fumier</v>
      </c>
      <c r="AC9" s="2108">
        <f>Paramètres!AF11</f>
        <v>1.6</v>
      </c>
      <c r="AE9" s="1337">
        <f>IF(Plan_Epandage!D6&lt;=170,Priorite_Epand1,Priorite_Epand2+2)</f>
        <v>1</v>
      </c>
      <c r="AF9" s="1771">
        <v>1</v>
      </c>
      <c r="AG9" s="1771">
        <f>Plan_Epandage!$J$62</f>
        <v>3332.5449503130094</v>
      </c>
    </row>
    <row r="10" spans="1:33" x14ac:dyDescent="0.2">
      <c r="A10" s="2282"/>
      <c r="B10" s="2627" t="s">
        <v>2115</v>
      </c>
      <c r="C10" s="2628">
        <f>TotNImportPra</f>
        <v>0</v>
      </c>
      <c r="D10" s="2628">
        <f>IF(C10=0,0,Plan_Epandage!AJ45)</f>
        <v>0</v>
      </c>
      <c r="E10" s="2628">
        <f>IF(C10=0,0,Plan_Epandage!AJ46)</f>
        <v>0</v>
      </c>
      <c r="F10" s="2428"/>
      <c r="G10" s="2282"/>
      <c r="H10" s="2629" t="s">
        <v>2123</v>
      </c>
      <c r="I10" s="2628">
        <f>Autonomie!K7+Autonomie!K14+Autonomie!K21</f>
        <v>0</v>
      </c>
      <c r="J10" s="2628">
        <f>Autonomie!L7+Autonomie!L14+Autonomie!L21</f>
        <v>0</v>
      </c>
      <c r="K10" s="2628">
        <f>25*(Autonomie!H7+Autonomie!H14+Autonomie!H21)</f>
        <v>0</v>
      </c>
      <c r="L10" s="2282"/>
      <c r="M10" s="2282"/>
      <c r="AA10" s="1520" t="s">
        <v>1796</v>
      </c>
      <c r="AB10" s="1369" t="str">
        <f>Plan_Epandage!AI16</f>
        <v>Bovins - Lisier</v>
      </c>
      <c r="AC10" s="2108">
        <f>Paramètres!AF12</f>
        <v>1.23</v>
      </c>
      <c r="AF10" s="1337">
        <v>2</v>
      </c>
      <c r="AG10" s="1771">
        <f>Plan_Epandage!$J$61</f>
        <v>1250</v>
      </c>
    </row>
    <row r="11" spans="1:33" x14ac:dyDescent="0.2">
      <c r="A11" s="2282"/>
      <c r="B11" s="2627" t="s">
        <v>2116</v>
      </c>
      <c r="C11" s="2628">
        <f>Ferti_SAU!F25</f>
        <v>4390</v>
      </c>
      <c r="D11" s="2628">
        <f>Ferti_SAU!G25</f>
        <v>2520</v>
      </c>
      <c r="E11" s="2628">
        <f>Ferti_SAU!H25</f>
        <v>7480</v>
      </c>
      <c r="F11" s="2626"/>
      <c r="G11" s="2282"/>
      <c r="H11" s="2631" t="s">
        <v>2124</v>
      </c>
      <c r="I11" s="2451">
        <f>Autonomie!K8+Autonomie!K9+Autonomie!K15+Autonomie!K16+Autonomie!K22+Autonomie!K23</f>
        <v>3766.9449999999997</v>
      </c>
      <c r="J11" s="2451">
        <f>Autonomie!L8+Autonomie!L9+Autonomie!L15+Autonomie!L16+Autonomie!L22+Autonomie!L23</f>
        <v>940.5675</v>
      </c>
      <c r="K11" s="2451">
        <f>26*(Autonomie!H8+Autonomie!H9+Autonomie!H15+Autonomie!H16+Autonomie!H22+Autonomie!H23)</f>
        <v>4576.91</v>
      </c>
      <c r="L11" s="2282"/>
      <c r="M11" s="2282"/>
      <c r="AA11" s="1520">
        <f>NatEffImp</f>
        <v>0</v>
      </c>
      <c r="AB11" s="1369" t="str">
        <f>Plan_Epandage!AI17</f>
        <v>Bovins - Compost</v>
      </c>
      <c r="AC11" s="2108">
        <f>Paramètres!AF13</f>
        <v>1.3</v>
      </c>
      <c r="AF11" s="1337">
        <v>3</v>
      </c>
      <c r="AG11" s="1771">
        <f>Plan_Epandage!$J$109</f>
        <v>0</v>
      </c>
    </row>
    <row r="12" spans="1:33" x14ac:dyDescent="0.2">
      <c r="A12" s="2282"/>
      <c r="B12" s="2627" t="s">
        <v>2117</v>
      </c>
      <c r="C12" s="2628">
        <f>SUM(Pressions_Prairies!E7,Pressions_Prairies!E12,Pressions_Prairies!E17)</f>
        <v>5345.5414402195347</v>
      </c>
      <c r="D12" s="2628">
        <f>SUM(Pressions_Prairies!F7,Pressions_Prairies!F12,Pressions_Prairies!F17)</f>
        <v>1747.7325716506186</v>
      </c>
      <c r="E12" s="2628">
        <f>SUM(Pressions_Prairies!G7,Pressions_Prairies!G12,Pressions_Prairies!G17)</f>
        <v>8171.0142200679329</v>
      </c>
      <c r="F12" s="2709"/>
      <c r="G12" s="2282"/>
      <c r="H12" s="2631" t="s">
        <v>2190</v>
      </c>
      <c r="I12" s="2628">
        <f>SUM(Autonomie!K42:K43)</f>
        <v>0</v>
      </c>
      <c r="J12" s="2628">
        <f>SUM(Autonomie!L42:L43)</f>
        <v>0</v>
      </c>
      <c r="K12" s="2628">
        <f>30*SUM(Autonomie!H42:H43)</f>
        <v>0</v>
      </c>
      <c r="L12" s="2282"/>
      <c r="M12" s="2282"/>
      <c r="AA12" s="1337" t="e">
        <f>VLOOKUP(AA11,$AB$9:$AC$33,2,FALSE)</f>
        <v>#N/A</v>
      </c>
      <c r="AB12" s="1369" t="str">
        <f>Plan_Epandage!AI18</f>
        <v>Porcs Biphase - Lisier</v>
      </c>
      <c r="AC12" s="2108">
        <f>Paramètres!AF14</f>
        <v>0.7</v>
      </c>
      <c r="AE12" s="1372"/>
      <c r="AF12" s="1337">
        <v>4</v>
      </c>
      <c r="AG12" s="1771">
        <f>Plan_Epandage!$J$108</f>
        <v>0</v>
      </c>
    </row>
    <row r="13" spans="1:33" x14ac:dyDescent="0.2">
      <c r="A13" s="2282"/>
      <c r="B13" s="2627" t="s">
        <v>2118</v>
      </c>
      <c r="C13" s="2628">
        <f>0.01*Saisie_Bilan!E39*0.8*SUM(Autonomie!K21:K24)+0.8*SUM(Autonomie!K42:K43)</f>
        <v>1071.0630000000001</v>
      </c>
      <c r="D13" s="2628"/>
      <c r="E13" s="2628"/>
      <c r="F13" s="2710"/>
      <c r="G13" s="2282"/>
      <c r="H13" s="2486" t="s">
        <v>2125</v>
      </c>
      <c r="I13" s="2668">
        <f>Autonomie!K10+Autonomie!K17+Autonomie!K24</f>
        <v>6490.4000000000005</v>
      </c>
      <c r="J13" s="2668">
        <f>Autonomie!L10+Autonomie!L17+Autonomie!L24</f>
        <v>2024.96</v>
      </c>
      <c r="K13" s="2668">
        <f>36*(Autonomie!H10+Autonomie!H17+Autonomie!H24)</f>
        <v>9054.7200000000012</v>
      </c>
      <c r="L13" s="2282"/>
      <c r="M13" s="2282"/>
      <c r="AB13" s="1369" t="str">
        <f>Plan_Epandage!AI19</f>
        <v>Porcs Biphase - Fumier paille</v>
      </c>
      <c r="AC13" s="2108">
        <f>Paramètres!AF15</f>
        <v>1.3</v>
      </c>
    </row>
    <row r="14" spans="1:33" x14ac:dyDescent="0.2">
      <c r="A14" s="2282"/>
      <c r="B14" s="2627" t="s">
        <v>2119</v>
      </c>
      <c r="C14" s="2628">
        <f>SA_SFP_Herbe*VLOOKUP(SB_12,Saisie_Bilan!AK118:AL120,2,FALSE)</f>
        <v>650</v>
      </c>
      <c r="D14" s="2628"/>
      <c r="E14" s="2628"/>
      <c r="F14" s="2711"/>
      <c r="G14" s="2283"/>
      <c r="H14" s="2715" t="s">
        <v>1792</v>
      </c>
      <c r="I14" s="2716">
        <f>SUM(I9:I13)</f>
        <v>10257.345000000001</v>
      </c>
      <c r="J14" s="2716">
        <f>SUM(J9:J13)</f>
        <v>2965.5275000000001</v>
      </c>
      <c r="K14" s="2716">
        <f>SUM(K9:K13)</f>
        <v>13631.630000000001</v>
      </c>
      <c r="L14" s="2282"/>
      <c r="M14" s="2282"/>
      <c r="AA14" s="1520" t="s">
        <v>1797</v>
      </c>
      <c r="AB14" s="1369" t="str">
        <f>Plan_Epandage!AI20</f>
        <v>Porcs Biphase - Fumier Sciure</v>
      </c>
      <c r="AC14" s="2108">
        <f>Paramètres!AF16</f>
        <v>1.7</v>
      </c>
    </row>
    <row r="15" spans="1:33" x14ac:dyDescent="0.2">
      <c r="A15" s="2282"/>
      <c r="B15" s="2627" t="s">
        <v>2120</v>
      </c>
      <c r="C15" s="2628">
        <f>VLOOKUP(Saisie_Bilan!C118,Saisie_Bilan!AH118:AI120,2,FALSE)*SA_SFP_Herbe</f>
        <v>780</v>
      </c>
      <c r="D15" s="2628"/>
      <c r="E15" s="2628"/>
      <c r="F15" s="2282"/>
      <c r="G15" s="2282"/>
      <c r="H15" s="2707" t="s">
        <v>2188</v>
      </c>
      <c r="I15" s="2736">
        <f>I14/(SA_SFP_Herbe+Autonomie!$E$35+SUM(Autonomie!$E$42:$E$43))</f>
        <v>157.80530769230771</v>
      </c>
      <c r="J15" s="2736">
        <f>J14/(SA_SFP_Herbe+Autonomie!$E$35+SUM(Autonomie!$E$42:$E$43))</f>
        <v>45.6235</v>
      </c>
      <c r="K15" s="2736">
        <f>K14/(SA_SFP_Herbe+Autonomie!$E$35+SUM(Autonomie!$E$42:$E$43))</f>
        <v>209.71738461538462</v>
      </c>
      <c r="L15" s="2282"/>
      <c r="M15" s="2282"/>
      <c r="AA15" s="1520">
        <f>IF(Plan_Epandage!$D$6&lt;=170,NatEffExp,NatEffExport)</f>
        <v>0</v>
      </c>
      <c r="AB15" s="1369" t="str">
        <f>Plan_Epandage!AI21</f>
        <v>Porcs Biphase - Fumier copeaux</v>
      </c>
      <c r="AC15" s="2108">
        <f>Paramètres!AF17</f>
        <v>1.85</v>
      </c>
    </row>
    <row r="16" spans="1:33" ht="12.75" customHeight="1" x14ac:dyDescent="0.2">
      <c r="A16" s="2712"/>
      <c r="B16" s="2734" t="s">
        <v>1792</v>
      </c>
      <c r="C16" s="2716">
        <f>SUM(C9:C15)</f>
        <v>15569.149390532544</v>
      </c>
      <c r="D16" s="2716">
        <f>SUM(D9:D15)</f>
        <v>6160.6737481212067</v>
      </c>
      <c r="E16" s="2716">
        <f>SUM(E9:E15)</f>
        <v>21039.014220067933</v>
      </c>
      <c r="F16" s="2730"/>
      <c r="G16" s="2712"/>
      <c r="H16" s="2282"/>
      <c r="I16" s="2282"/>
      <c r="J16" s="2282"/>
      <c r="K16" s="2282"/>
      <c r="L16" s="2712"/>
      <c r="M16" s="2282"/>
      <c r="AA16" s="1337" t="e">
        <f>VLOOKUP(AA15,$AB$9:$AC$30,2,FALSE)</f>
        <v>#N/A</v>
      </c>
      <c r="AB16" s="1369" t="str">
        <f>Plan_Epandage!AI22</f>
        <v>Porcs Biphase - Compost copeaux</v>
      </c>
      <c r="AC16" s="2108">
        <f>Paramètres!AF18</f>
        <v>2.2200000000000002</v>
      </c>
    </row>
    <row r="17" spans="1:31" ht="15" x14ac:dyDescent="0.25">
      <c r="A17" s="2712"/>
      <c r="B17" s="2735" t="s">
        <v>2188</v>
      </c>
      <c r="C17" s="2736">
        <f>C16/(SA_SFP_Herbe+Autonomie!$E$35+SUM(Autonomie!$E$42:$E$43))</f>
        <v>239.52537523896223</v>
      </c>
      <c r="D17" s="2736">
        <f>D16/(SA_SFP_Herbe+Autonomie!$E$35+SUM(Autonomie!$E$42:$E$43))</f>
        <v>94.779596124941648</v>
      </c>
      <c r="E17" s="2736">
        <f>E16/(SA_SFP_Herbe+Autonomie!$E$35+SUM(Autonomie!$E$42:$E$43))</f>
        <v>323.67714184719898</v>
      </c>
      <c r="F17" s="2730"/>
      <c r="G17" s="2712"/>
      <c r="H17" s="2713" t="s">
        <v>2310</v>
      </c>
      <c r="I17" s="2714" t="s">
        <v>625</v>
      </c>
      <c r="J17" s="2714" t="s">
        <v>187</v>
      </c>
      <c r="K17" s="2714" t="s">
        <v>665</v>
      </c>
      <c r="L17" s="2712"/>
      <c r="M17" s="2282"/>
      <c r="AB17" s="1369" t="str">
        <f>Plan_Epandage!AI23</f>
        <v>Porcs Biphase - Autre compost</v>
      </c>
      <c r="AC17" s="2108">
        <f>Paramètres!AF19</f>
        <v>1.75</v>
      </c>
    </row>
    <row r="18" spans="1:31" x14ac:dyDescent="0.2">
      <c r="A18" s="2282"/>
      <c r="B18" s="2731"/>
      <c r="C18" s="2732"/>
      <c r="D18" s="2732"/>
      <c r="E18" s="2732"/>
      <c r="F18" s="2730"/>
      <c r="G18" s="2282"/>
      <c r="H18" s="2715" t="s">
        <v>1809</v>
      </c>
      <c r="I18" s="2716">
        <f>C16-I14</f>
        <v>5311.804390532543</v>
      </c>
      <c r="J18" s="2716">
        <f>D16-J14</f>
        <v>3195.1462481212066</v>
      </c>
      <c r="K18" s="2716">
        <f>E16-K14</f>
        <v>7407.3842200679319</v>
      </c>
      <c r="L18" s="2282"/>
      <c r="M18" s="2282"/>
      <c r="AB18" s="1369" t="str">
        <f>Plan_Epandage!AI24</f>
        <v>Porcs classique - Lisier</v>
      </c>
      <c r="AC18" s="2108">
        <f>Paramètres!AF20</f>
        <v>0.68</v>
      </c>
    </row>
    <row r="19" spans="1:31" x14ac:dyDescent="0.2">
      <c r="A19" s="2282"/>
      <c r="B19" s="2733"/>
      <c r="C19" s="2733"/>
      <c r="D19" s="2733"/>
      <c r="E19" s="2733"/>
      <c r="F19" s="2730"/>
      <c r="G19" s="2282"/>
      <c r="H19" s="2707" t="s">
        <v>2189</v>
      </c>
      <c r="I19" s="2736">
        <f>I18/(SA_SFP_Herbe+Autonomie!$E$35+SUM(Autonomie!$E$42:$E$43))</f>
        <v>81.720067546654505</v>
      </c>
      <c r="J19" s="2736">
        <f>J18/(SA_SFP_Herbe+Autonomie!$E$35+SUM(Autonomie!$E$42:$E$43))</f>
        <v>49.156096124941641</v>
      </c>
      <c r="K19" s="2736">
        <f>K18/(SA_SFP_Herbe+Autonomie!$E$35+SUM(Autonomie!$E$42:$E$43))</f>
        <v>113.95975723181434</v>
      </c>
      <c r="L19" s="2282"/>
      <c r="M19" s="2282"/>
      <c r="AB19" s="1369" t="str">
        <f>Plan_Epandage!AI25</f>
        <v>Porcs classique - Fumier paille</v>
      </c>
      <c r="AC19" s="2108">
        <f>Paramètres!AF21</f>
        <v>1.5</v>
      </c>
    </row>
    <row r="20" spans="1:31" x14ac:dyDescent="0.2">
      <c r="A20" s="2282"/>
      <c r="B20" s="2730"/>
      <c r="C20" s="2730"/>
      <c r="D20" s="2730"/>
      <c r="E20" s="2730"/>
      <c r="F20" s="2730"/>
      <c r="G20" s="2282"/>
      <c r="H20" s="2282"/>
      <c r="I20" s="2282"/>
      <c r="J20" s="2282"/>
      <c r="K20" s="2282"/>
      <c r="L20" s="2282"/>
      <c r="M20" s="2282"/>
      <c r="AB20" s="1369" t="str">
        <f>Plan_Epandage!AI26</f>
        <v>Porcs classique - Fumier Sciure</v>
      </c>
      <c r="AC20" s="2108">
        <f>Paramètres!AF22</f>
        <v>1.6</v>
      </c>
    </row>
    <row r="21" spans="1:31" ht="64.5" customHeight="1" x14ac:dyDescent="0.2">
      <c r="A21" s="2282"/>
      <c r="B21" s="3417" t="s">
        <v>2408</v>
      </c>
      <c r="C21" s="3417"/>
      <c r="D21" s="3417"/>
      <c r="E21" s="3417"/>
      <c r="F21" s="3417"/>
      <c r="G21" s="3417"/>
      <c r="H21" s="3417"/>
      <c r="I21" s="3417"/>
      <c r="J21" s="3417"/>
      <c r="K21" s="3417"/>
      <c r="L21" s="2282"/>
      <c r="M21" s="2282"/>
      <c r="AB21" s="1369" t="str">
        <f>Plan_Epandage!AI27</f>
        <v>Porcs classique - Fumier copeaux</v>
      </c>
      <c r="AC21" s="2108">
        <f>Paramètres!AF23</f>
        <v>1.8</v>
      </c>
    </row>
    <row r="22" spans="1:31" x14ac:dyDescent="0.2">
      <c r="A22" s="2282"/>
      <c r="B22" s="2282"/>
      <c r="C22" s="2282"/>
      <c r="D22" s="2282"/>
      <c r="E22" s="2282"/>
      <c r="F22" s="2282"/>
      <c r="G22" s="2282"/>
      <c r="H22" s="2283"/>
      <c r="I22" s="2283"/>
      <c r="J22" s="2283"/>
      <c r="K22" s="2283"/>
      <c r="L22" s="2282"/>
      <c r="M22" s="2282"/>
      <c r="AB22" s="1369" t="str">
        <f>Plan_Epandage!AI28</f>
        <v>Porcs classique - Compost copeaux</v>
      </c>
      <c r="AC22" s="2108">
        <f>Paramètres!AF24</f>
        <v>2.2230000000000003</v>
      </c>
    </row>
    <row r="23" spans="1:31" ht="15" x14ac:dyDescent="0.25">
      <c r="A23" s="2708" t="s">
        <v>2128</v>
      </c>
      <c r="B23" s="2282"/>
      <c r="C23" s="2282"/>
      <c r="D23" s="2282"/>
      <c r="E23" s="2282"/>
      <c r="F23" s="2282"/>
      <c r="G23" s="2282"/>
      <c r="H23" s="2282"/>
      <c r="I23" s="2282"/>
      <c r="J23" s="2282"/>
      <c r="K23" s="2282"/>
      <c r="L23" s="2282"/>
      <c r="M23" s="2282"/>
      <c r="AB23" s="1369" t="str">
        <f>Plan_Epandage!AI29</f>
        <v>Porcs classique - Autre compost</v>
      </c>
      <c r="AC23" s="2108">
        <f>Paramètres!AF25</f>
        <v>1.665</v>
      </c>
    </row>
    <row r="24" spans="1:31" x14ac:dyDescent="0.2">
      <c r="A24" s="2282"/>
      <c r="B24" s="2282"/>
      <c r="C24" s="2282"/>
      <c r="D24" s="2282"/>
      <c r="E24" s="2282"/>
      <c r="F24" s="2282"/>
      <c r="G24" s="2282"/>
      <c r="H24" s="2282"/>
      <c r="I24" s="2282"/>
      <c r="J24" s="2282"/>
      <c r="K24" s="2282"/>
      <c r="L24" s="2282"/>
      <c r="M24" s="2282"/>
      <c r="AB24" s="1369" t="str">
        <f>Plan_Epandage!AI30</f>
        <v>Volailles - Fumier poules et poulets</v>
      </c>
      <c r="AC24" s="2108">
        <f>Paramètres!AF26</f>
        <v>0.7</v>
      </c>
    </row>
    <row r="25" spans="1:31" ht="15" x14ac:dyDescent="0.25">
      <c r="A25" s="2282"/>
      <c r="B25" s="2713" t="s">
        <v>1812</v>
      </c>
      <c r="C25" s="2714" t="s">
        <v>625</v>
      </c>
      <c r="D25" s="2714" t="s">
        <v>187</v>
      </c>
      <c r="E25" s="2714" t="s">
        <v>665</v>
      </c>
      <c r="F25" s="2282"/>
      <c r="G25" s="2282"/>
      <c r="H25" s="2713" t="s">
        <v>1909</v>
      </c>
      <c r="I25" s="2714" t="s">
        <v>625</v>
      </c>
      <c r="J25" s="2714" t="s">
        <v>187</v>
      </c>
      <c r="K25" s="2714" t="s">
        <v>665</v>
      </c>
      <c r="L25" s="2282"/>
      <c r="M25" s="2282"/>
      <c r="AB25" s="1369" t="str">
        <f>Plan_Epandage!AI31</f>
        <v>Volailles - Fumier dindes</v>
      </c>
      <c r="AC25" s="2108">
        <f>Paramètres!AF27</f>
        <v>0.8</v>
      </c>
    </row>
    <row r="26" spans="1:31" x14ac:dyDescent="0.2">
      <c r="A26" s="2282"/>
      <c r="B26" s="2627" t="s">
        <v>2116</v>
      </c>
      <c r="C26" s="2628">
        <f>C11</f>
        <v>4390</v>
      </c>
      <c r="D26" s="2628">
        <f>D11</f>
        <v>2520</v>
      </c>
      <c r="E26" s="2628">
        <f>E11</f>
        <v>7480</v>
      </c>
      <c r="F26" s="2282"/>
      <c r="G26" s="2282"/>
      <c r="H26" s="2627" t="s">
        <v>2192</v>
      </c>
      <c r="I26" s="2628">
        <f>SUM(Saisie_Bilan!AE123:AE129,Saisie_Bilan!AE131,Saisie_Bilan!AE133)</f>
        <v>150</v>
      </c>
      <c r="J26" s="2628">
        <f>SUM(Saisie_Bilan!AF123:AF129,Saisie_Bilan!AF131,Saisie_Bilan!AF133)</f>
        <v>70</v>
      </c>
      <c r="K26" s="2628">
        <f>SUM(Saisie_Bilan!AG123:AG129,Saisie_Bilan!AG131,Saisie_Bilan!AG133)</f>
        <v>200</v>
      </c>
      <c r="L26" s="2282"/>
      <c r="M26" s="2282"/>
      <c r="AB26" s="1369" t="str">
        <f>Plan_Epandage!AI32</f>
        <v>Volailles - Fumier autres volailles</v>
      </c>
      <c r="AC26" s="2108">
        <f>Paramètres!AF28</f>
        <v>0.65</v>
      </c>
    </row>
    <row r="27" spans="1:31" x14ac:dyDescent="0.2">
      <c r="A27" s="2282"/>
      <c r="B27" s="2627" t="s">
        <v>2115</v>
      </c>
      <c r="C27" s="2628">
        <f>C10</f>
        <v>0</v>
      </c>
      <c r="D27" s="2628">
        <f>D10</f>
        <v>0</v>
      </c>
      <c r="E27" s="2628">
        <f>E10</f>
        <v>0</v>
      </c>
      <c r="F27" s="2282"/>
      <c r="G27" s="2282"/>
      <c r="H27" s="2627" t="s">
        <v>2142</v>
      </c>
      <c r="I27" s="2628"/>
      <c r="J27" s="2628"/>
      <c r="K27" s="2628"/>
      <c r="L27" s="2282"/>
      <c r="M27" s="2282"/>
      <c r="AB27" s="1369" t="str">
        <f>Plan_Epandage!AI33</f>
        <v>Volailles - Composts</v>
      </c>
      <c r="AC27" s="2108">
        <f>Paramètres!AF29</f>
        <v>1.1499999999999999</v>
      </c>
    </row>
    <row r="28" spans="1:31" x14ac:dyDescent="0.2">
      <c r="A28" s="2282"/>
      <c r="B28" s="2627" t="s">
        <v>1821</v>
      </c>
      <c r="C28" s="2628"/>
      <c r="D28" s="2628"/>
      <c r="E28" s="2628"/>
      <c r="F28" s="2282"/>
      <c r="G28" s="2282"/>
      <c r="H28" s="2627" t="s">
        <v>2140</v>
      </c>
      <c r="I28" s="2628">
        <f>IF(VL_NbVaches=0,0,0.001*$AE28*Saisie_Bilan!AB137)</f>
        <v>1186.056</v>
      </c>
      <c r="J28" s="2628">
        <f>IF(VL_NbVaches=0,0,0.001*$AE28*Saisie_Bilan!AC137)</f>
        <v>488.37600000000003</v>
      </c>
      <c r="K28" s="2628">
        <f>IF(VL_NbVaches=0,0,0.001*$AE28*Saisie_Bilan!AD137)</f>
        <v>418.608</v>
      </c>
      <c r="L28" s="2282"/>
      <c r="M28" s="2282"/>
      <c r="AB28" s="1369" t="str">
        <f>Plan_Epandage!AI34</f>
        <v>Volailles - Lisier</v>
      </c>
      <c r="AC28" s="2108">
        <f>Paramètres!AF30</f>
        <v>0.5</v>
      </c>
      <c r="AE28" s="1369">
        <f>IF(ISBLANK(SB_13),AVL_Paturage*Saisies_Exploitation!$H$46/360,SB_13*AVL_Paturage*VL_NbVaches)</f>
        <v>232560</v>
      </c>
    </row>
    <row r="29" spans="1:31" x14ac:dyDescent="0.2">
      <c r="A29" s="2282"/>
      <c r="B29" s="2627" t="s">
        <v>2409</v>
      </c>
      <c r="C29" s="2628">
        <f>0.8*(Autonomie!K36+Autonomie!K42+Autonomie!K43)</f>
        <v>0</v>
      </c>
      <c r="D29" s="2628"/>
      <c r="E29" s="2720"/>
      <c r="F29" s="2282"/>
      <c r="G29" s="2282"/>
      <c r="H29" s="2627" t="s">
        <v>2149</v>
      </c>
      <c r="I29" s="2628">
        <f>0.001*0.9*Saisie_Bilan!$G$156*Saisie_Bilan!AB138</f>
        <v>241.48800000000003</v>
      </c>
      <c r="J29" s="2628">
        <f>0.001*0.9*Saisie_Bilan!$G$156*Saisie_Bilan!AC138</f>
        <v>160.99200000000002</v>
      </c>
      <c r="K29" s="2628">
        <f>0.001*0.9*Saisie_Bilan!$G$156*Saisie_Bilan!AD138</f>
        <v>25.155000000000001</v>
      </c>
      <c r="L29" s="2282"/>
      <c r="M29" s="2282"/>
      <c r="AB29" s="1369" t="str">
        <f>Plan_Epandage!AI35</f>
        <v>Ovins - Fumiers et composts</v>
      </c>
      <c r="AC29" s="2108">
        <f>Paramètres!AF31</f>
        <v>1.71</v>
      </c>
    </row>
    <row r="30" spans="1:31" x14ac:dyDescent="0.2">
      <c r="A30" s="2282"/>
      <c r="B30" s="2350" t="s">
        <v>1814</v>
      </c>
      <c r="C30" s="2628">
        <f>0.01*Saisie_Bilan!E39*0.8*SUM(Autonomie!K21:K24)</f>
        <v>1071.0630000000001</v>
      </c>
      <c r="D30" s="2720"/>
      <c r="E30" s="2720"/>
      <c r="F30" s="2282"/>
      <c r="G30" s="2282"/>
      <c r="H30" s="2715" t="s">
        <v>1895</v>
      </c>
      <c r="I30" s="2716">
        <f>SUM(I26:I29)</f>
        <v>1577.5440000000001</v>
      </c>
      <c r="J30" s="2716">
        <f>SUM(J26:J29)</f>
        <v>719.36799999999994</v>
      </c>
      <c r="K30" s="2716">
        <f>SUM(K26:K29)</f>
        <v>643.76299999999992</v>
      </c>
      <c r="L30" s="2282"/>
      <c r="M30" s="2282"/>
      <c r="AB30" s="1369" t="str">
        <f>Plan_Epandage!AI36</f>
        <v>Lapins</v>
      </c>
      <c r="AC30" s="2108">
        <f>Paramètres!AF32</f>
        <v>1.43</v>
      </c>
    </row>
    <row r="31" spans="1:31" x14ac:dyDescent="0.2">
      <c r="A31" s="2282"/>
      <c r="B31" s="2627" t="s">
        <v>2129</v>
      </c>
      <c r="C31" s="2720"/>
      <c r="D31" s="2720"/>
      <c r="E31" s="2720"/>
      <c r="F31" s="2282"/>
      <c r="G31" s="2282"/>
      <c r="H31" s="2700" t="s">
        <v>2159</v>
      </c>
      <c r="I31" s="2723">
        <f>I30/(SA_SFP_Herbe+Autonomie!$E$35+Autonomie!$E$42+Autonomie!$E$43)</f>
        <v>24.269907692307694</v>
      </c>
      <c r="J31" s="2723">
        <f>J30/(SA_SFP_Herbe+Autonomie!$E$35+Autonomie!$E$42+Autonomie!$E$43)</f>
        <v>11.0672</v>
      </c>
      <c r="K31" s="2723">
        <f>K30/(SA_SFP_Herbe+Autonomie!$E$35+Autonomie!$E$42+Autonomie!$E$43)</f>
        <v>9.9040461538461528</v>
      </c>
      <c r="L31" s="2282"/>
      <c r="M31" s="2282"/>
      <c r="AB31" s="1369" t="str">
        <f>Plan_Epandage!AI37</f>
        <v>Digestats de méthanis. Liquide</v>
      </c>
      <c r="AC31" s="2108">
        <f>Paramètres!AF33</f>
        <v>1.5</v>
      </c>
    </row>
    <row r="32" spans="1:31" x14ac:dyDescent="0.2">
      <c r="A32" s="2282"/>
      <c r="B32" s="2737" t="s">
        <v>2134</v>
      </c>
      <c r="C32" s="2628"/>
      <c r="D32" s="2628"/>
      <c r="E32" s="2628"/>
      <c r="F32" s="2282"/>
      <c r="G32" s="2282"/>
      <c r="H32" s="2282"/>
      <c r="I32" s="2282"/>
      <c r="J32" s="2282"/>
      <c r="K32" s="2282"/>
      <c r="L32" s="2282"/>
      <c r="M32" s="2282"/>
      <c r="AB32" s="1369" t="str">
        <f>Plan_Epandage!AI38</f>
        <v>Digestats de méthanis. Solide</v>
      </c>
      <c r="AC32" s="2108">
        <f>Paramètres!AF34</f>
        <v>1.1000000000000001</v>
      </c>
    </row>
    <row r="33" spans="1:29" x14ac:dyDescent="0.2">
      <c r="A33" s="2282"/>
      <c r="B33" s="2627" t="s">
        <v>2130</v>
      </c>
      <c r="C33" s="2628">
        <f>0.028*0.87*VL_NbVaches*(AVL_ConJou1*AVL_JoPer1+AVL_ConJou2*AVL_JoPer2+AVL_ConJou3*AVL_JoPer3)</f>
        <v>347.86079999999998</v>
      </c>
      <c r="D33" s="2628">
        <f>C33*0.011/0.028</f>
        <v>136.65959999999998</v>
      </c>
      <c r="E33" s="2628">
        <f>C33*0.01/0.028</f>
        <v>124.23599999999999</v>
      </c>
      <c r="F33" s="2282"/>
      <c r="G33" s="2282"/>
      <c r="H33" s="2738"/>
      <c r="I33" s="2739"/>
      <c r="J33" s="2739"/>
      <c r="K33" s="2739"/>
      <c r="L33" s="2282"/>
      <c r="M33" s="2282"/>
      <c r="AB33" s="1369" t="str">
        <f>Plan_Epandage!AI39</f>
        <v>Digestats de méthanis. Compost</v>
      </c>
      <c r="AC33" s="2108">
        <f>Paramètres!AF35</f>
        <v>1.3</v>
      </c>
    </row>
    <row r="34" spans="1:29" x14ac:dyDescent="0.2">
      <c r="A34" s="2282"/>
      <c r="B34" s="2627" t="s">
        <v>2131</v>
      </c>
      <c r="C34" s="2628">
        <f>0.025*0.87*(VL_NbGenAn3*Saisies_Exploitation!O173+Saisies_Exploitation!D103*(AEN_ConcGen1LPat+AEN_ConcGen2LPat)+SUM(Saisies_Exploitation!D107:D109)*AEN_ConcGen3LPat)</f>
        <v>130.5</v>
      </c>
      <c r="D34" s="2628">
        <f>C34*0.01/0.025</f>
        <v>52.199999999999996</v>
      </c>
      <c r="E34" s="2628">
        <f>C34*0.008/0.025</f>
        <v>41.76</v>
      </c>
      <c r="F34" s="2282"/>
      <c r="G34" s="2282"/>
      <c r="H34" s="2283"/>
      <c r="I34" s="2740"/>
      <c r="J34" s="2740"/>
      <c r="K34" s="2740"/>
      <c r="L34" s="2282"/>
      <c r="M34" s="2282"/>
    </row>
    <row r="35" spans="1:29" ht="15" x14ac:dyDescent="0.25">
      <c r="A35" s="2282"/>
      <c r="B35" s="2627" t="s">
        <v>2132</v>
      </c>
      <c r="C35" s="2628">
        <f>0.025*0.87*(EN_NbMalAn1L*Saisies_Exploitation!J196+Saisies_Exploitation!D79*Saisies_Exploitation!J197+SUM(Saisies_Exploitation!D84:D87)*Saisies_Exploitation!J198+EN_NbTaurilL*AEN_ConcTauLPat)</f>
        <v>0</v>
      </c>
      <c r="D35" s="2628">
        <f>C35*0.01/0.025</f>
        <v>0</v>
      </c>
      <c r="E35" s="2628">
        <f>C35*0.008/0.025</f>
        <v>0</v>
      </c>
      <c r="F35" s="2282"/>
      <c r="G35" s="2282"/>
      <c r="H35" s="2713" t="s">
        <v>2300</v>
      </c>
      <c r="I35" s="2725" t="s">
        <v>625</v>
      </c>
      <c r="J35" s="2725" t="s">
        <v>187</v>
      </c>
      <c r="K35" s="2725" t="s">
        <v>665</v>
      </c>
      <c r="L35" s="2282"/>
      <c r="M35" s="2282"/>
    </row>
    <row r="36" spans="1:29" x14ac:dyDescent="0.2">
      <c r="A36" s="2282"/>
      <c r="B36" s="2627" t="s">
        <v>2133</v>
      </c>
      <c r="C36" s="2628">
        <f>0.023*0.87*EN_NbVaRefLait*AEN_ConcVLRPat</f>
        <v>84.042000000000002</v>
      </c>
      <c r="D36" s="2628">
        <f>C36*0.01/0.023</f>
        <v>36.540000000000006</v>
      </c>
      <c r="E36" s="2628">
        <f>C36*0.008/0.023</f>
        <v>29.232000000000003</v>
      </c>
      <c r="F36" s="2282"/>
      <c r="G36" s="2282"/>
      <c r="H36" s="2715" t="s">
        <v>1809</v>
      </c>
      <c r="I36" s="2716">
        <f>C43-I30</f>
        <v>5325.8413000000019</v>
      </c>
      <c r="J36" s="2716">
        <f>D43-J30</f>
        <v>2067.6744846153847</v>
      </c>
      <c r="K36" s="2716">
        <f>E43-K30</f>
        <v>7064.7793076923081</v>
      </c>
      <c r="L36" s="2282"/>
      <c r="M36" s="2282"/>
    </row>
    <row r="37" spans="1:29" x14ac:dyDescent="0.2">
      <c r="A37" s="2282"/>
      <c r="B37" s="2737" t="s">
        <v>2135</v>
      </c>
      <c r="C37" s="2720"/>
      <c r="D37" s="2628"/>
      <c r="E37" s="2628"/>
      <c r="F37" s="2282"/>
      <c r="G37" s="2282"/>
      <c r="H37" s="2700" t="s">
        <v>2160</v>
      </c>
      <c r="I37" s="2723">
        <f>I36/(SA_SFP_Herbe+Autonomie!$E$35+Autonomie!$E$42+Autonomie!$E$43)</f>
        <v>81.936020000000028</v>
      </c>
      <c r="J37" s="2723">
        <f>J36/(SA_SFP_Herbe+Autonomie!$E$35+Autonomie!$E$42+Autonomie!$E$43)</f>
        <v>31.810376686390534</v>
      </c>
      <c r="K37" s="2723">
        <f>K36/(SA_SFP_Herbe+Autonomie!$E$35+Autonomie!$E$42+Autonomie!$E$43)</f>
        <v>108.68891242603551</v>
      </c>
      <c r="L37" s="2282"/>
      <c r="M37" s="2282"/>
    </row>
    <row r="38" spans="1:29" x14ac:dyDescent="0.2">
      <c r="A38" s="2282"/>
      <c r="B38" s="2627" t="s">
        <v>2136</v>
      </c>
      <c r="C38" s="2628">
        <f>0.023*0.87*TA_NbVaches*ATA_ConcVaPat</f>
        <v>22.010999999999999</v>
      </c>
      <c r="D38" s="2628">
        <f>C38*0.01/0.023</f>
        <v>9.57</v>
      </c>
      <c r="E38" s="2628">
        <f>C38*0.008/0.023</f>
        <v>7.6559999999999997</v>
      </c>
      <c r="F38" s="2282"/>
      <c r="G38" s="2282"/>
      <c r="H38" s="2282"/>
      <c r="I38" s="2282"/>
      <c r="J38" s="2282"/>
      <c r="K38" s="2282"/>
      <c r="L38" s="2282"/>
      <c r="M38" s="2282"/>
    </row>
    <row r="39" spans="1:29" x14ac:dyDescent="0.2">
      <c r="A39" s="2282"/>
      <c r="B39" s="2627" t="s">
        <v>2131</v>
      </c>
      <c r="C39" s="2628">
        <f>0.023*0.87*(TA_NbGenAn1*AEN_ConcGen1APat+TA_NbGenAn3*ATA_ConcGenPat+Saisies_Exploitation!E103*AEN_ConcGen2APat+SUM(Saisies_Exploitation!E107:E109)*AEN_ConcGen3APat)</f>
        <v>12.006</v>
      </c>
      <c r="D39" s="2628">
        <f>C39*0.01/0.023</f>
        <v>5.22</v>
      </c>
      <c r="E39" s="2628">
        <f>C39*0.008/0.023</f>
        <v>4.1760000000000002</v>
      </c>
      <c r="F39" s="2282"/>
      <c r="G39" s="2282"/>
      <c r="H39" s="2282"/>
      <c r="I39" s="2282"/>
      <c r="J39" s="2282"/>
      <c r="K39" s="2282"/>
      <c r="L39" s="2282"/>
      <c r="M39" s="2282"/>
    </row>
    <row r="40" spans="1:29" x14ac:dyDescent="0.2">
      <c r="A40" s="2282"/>
      <c r="B40" s="2627" t="s">
        <v>2132</v>
      </c>
      <c r="C40" s="2628">
        <f>0.025*0.87*((EN_NbMalAn1A+EN_NbMalAn1Ach)*Saisies_Exploitation!J200+Saisies_Exploitation!E79*Saisies_Exploitation!J201+SUM(Saisies_Exploitation!E84:E87)*Saisies_Exploitation!J202+EN_NbTaurilA*AEN_ConcTauVPat)</f>
        <v>35.887500000000003</v>
      </c>
      <c r="D40" s="2628">
        <f>C40*0.01/0.026</f>
        <v>13.802884615384619</v>
      </c>
      <c r="E40" s="2628">
        <f>C40*0.008/0.026</f>
        <v>11.042307692307693</v>
      </c>
      <c r="F40" s="2282"/>
      <c r="G40" s="2282"/>
      <c r="H40" s="2282"/>
      <c r="I40" s="2282"/>
      <c r="J40" s="2282"/>
      <c r="K40" s="2282"/>
      <c r="L40" s="2282"/>
      <c r="M40" s="2282"/>
    </row>
    <row r="41" spans="1:29" x14ac:dyDescent="0.2">
      <c r="A41" s="2282"/>
      <c r="B41" s="2627" t="s">
        <v>2133</v>
      </c>
      <c r="C41" s="2628">
        <f>0.023*0.87*EN_NbVaRefA*AEN_ConcVaRPat</f>
        <v>30.015000000000001</v>
      </c>
      <c r="D41" s="2628">
        <f>C41*0.01/0.023</f>
        <v>13.05</v>
      </c>
      <c r="E41" s="2628">
        <f>C41*0.008/0.023</f>
        <v>10.44</v>
      </c>
      <c r="F41" s="2282"/>
      <c r="G41" s="2282"/>
      <c r="H41" s="2700" t="s">
        <v>1975</v>
      </c>
      <c r="I41" s="2726">
        <f>I30/C43</f>
        <v>0.22851744925783002</v>
      </c>
      <c r="J41" s="2726">
        <f>J30/D43</f>
        <v>0.25811160180404413</v>
      </c>
      <c r="K41" s="2726">
        <f>K30/E43</f>
        <v>8.3512935948680297E-2</v>
      </c>
      <c r="L41" s="2282"/>
      <c r="M41" s="2282"/>
    </row>
    <row r="42" spans="1:29" x14ac:dyDescent="0.2">
      <c r="A42" s="2282"/>
      <c r="B42" s="2583" t="s">
        <v>1820</v>
      </c>
      <c r="C42" s="2584">
        <f>C15</f>
        <v>780</v>
      </c>
      <c r="D42" s="2721"/>
      <c r="E42" s="2721"/>
      <c r="F42" s="2282"/>
      <c r="G42" s="2282"/>
      <c r="H42" s="2700" t="s">
        <v>1976</v>
      </c>
      <c r="I42" s="2726">
        <f>IF(I36&lt;=0,"",I36/I30)</f>
        <v>3.3760334418564564</v>
      </c>
      <c r="J42" s="2726">
        <f>IF(J36&lt;=0,"",J36/J30)</f>
        <v>2.8742931081385117</v>
      </c>
      <c r="K42" s="2726">
        <f>IF(K36&lt;=0,"",K36/K30)</f>
        <v>10.974192843783053</v>
      </c>
      <c r="L42" s="2282"/>
      <c r="M42" s="2282"/>
    </row>
    <row r="43" spans="1:29" ht="12.75" customHeight="1" x14ac:dyDescent="0.2">
      <c r="A43" s="2282"/>
      <c r="B43" s="2734" t="s">
        <v>1895</v>
      </c>
      <c r="C43" s="2716">
        <f>SUM(C26:C42)</f>
        <v>6903.3853000000017</v>
      </c>
      <c r="D43" s="2716">
        <f>SUM(D26:D42)</f>
        <v>2787.0424846153846</v>
      </c>
      <c r="E43" s="2716">
        <f>SUM(E26:E42)</f>
        <v>7708.542307692308</v>
      </c>
      <c r="F43" s="2728"/>
      <c r="G43" s="2728"/>
      <c r="H43" s="2728"/>
      <c r="I43" s="2728"/>
      <c r="J43" s="2728"/>
      <c r="K43" s="2728"/>
      <c r="L43" s="2282"/>
      <c r="M43" s="2282"/>
    </row>
    <row r="44" spans="1:29" ht="12.75" customHeight="1" x14ac:dyDescent="0.2">
      <c r="A44" s="2282"/>
      <c r="B44" s="2735" t="s">
        <v>2139</v>
      </c>
      <c r="C44" s="2736">
        <f>C43/(SA_SFP_Herbe+Autonomie!$E$35+Autonomie!$E$42+Autonomie!$E$43)</f>
        <v>106.20592769230772</v>
      </c>
      <c r="D44" s="2736">
        <f>D43/(SA_SFP_Herbe+Autonomie!$E$35+Autonomie!$E$42+Autonomie!$E$43)</f>
        <v>42.877576686390533</v>
      </c>
      <c r="E44" s="2736">
        <f>E43/(SA_SFP_Herbe+Autonomie!$E$35+Autonomie!$E$42+Autonomie!$E$43)</f>
        <v>118.59295857988167</v>
      </c>
      <c r="F44" s="2728"/>
      <c r="G44" s="2728"/>
      <c r="H44" s="2728"/>
      <c r="I44" s="2728"/>
      <c r="J44" s="2728"/>
      <c r="K44" s="2728"/>
      <c r="L44" s="2282"/>
      <c r="M44" s="2282"/>
    </row>
    <row r="45" spans="1:29" ht="12.75" customHeight="1" x14ac:dyDescent="0.2">
      <c r="A45" s="2282"/>
      <c r="B45" s="2518"/>
      <c r="C45" s="2727"/>
      <c r="D45" s="2727"/>
      <c r="E45" s="2727"/>
      <c r="F45" s="2728"/>
      <c r="G45" s="2728"/>
      <c r="H45" s="2728"/>
      <c r="I45" s="2728"/>
      <c r="J45" s="2728"/>
      <c r="K45" s="2728"/>
      <c r="L45" s="2282"/>
      <c r="M45" s="2282"/>
    </row>
    <row r="46" spans="1:29" ht="81" customHeight="1" x14ac:dyDescent="0.2">
      <c r="A46" s="2282"/>
      <c r="B46" s="3418" t="s">
        <v>2424</v>
      </c>
      <c r="C46" s="3418"/>
      <c r="D46" s="3418"/>
      <c r="E46" s="3418"/>
      <c r="F46" s="3418"/>
      <c r="G46" s="3418"/>
      <c r="H46" s="3418"/>
      <c r="I46" s="3418"/>
      <c r="J46" s="3418"/>
      <c r="K46" s="3418"/>
      <c r="L46" s="2282"/>
      <c r="M46" s="2282"/>
    </row>
    <row r="47" spans="1:29" ht="15" customHeight="1" x14ac:dyDescent="0.2">
      <c r="A47" s="2282"/>
      <c r="B47" s="2729"/>
      <c r="C47" s="2728"/>
      <c r="D47" s="2728"/>
      <c r="E47" s="2728"/>
      <c r="F47" s="2728"/>
      <c r="G47" s="2728"/>
      <c r="H47" s="2728"/>
      <c r="I47" s="2728"/>
      <c r="J47" s="2728"/>
      <c r="K47" s="2728"/>
      <c r="L47" s="2282"/>
      <c r="M47" s="2282"/>
    </row>
    <row r="48" spans="1:29" ht="15" customHeight="1" x14ac:dyDescent="0.2">
      <c r="A48" s="2282"/>
      <c r="B48" s="2729"/>
      <c r="C48" s="2728"/>
      <c r="D48" s="2728"/>
      <c r="E48" s="2728"/>
      <c r="F48" s="2728"/>
      <c r="G48" s="2728"/>
      <c r="H48" s="2728"/>
      <c r="I48" s="2728"/>
      <c r="J48" s="2728"/>
      <c r="K48" s="2728"/>
      <c r="L48" s="2282"/>
      <c r="M48" s="2282"/>
    </row>
    <row r="49" ht="15" customHeight="1" x14ac:dyDescent="0.2"/>
    <row r="50" ht="15" customHeight="1" x14ac:dyDescent="0.2"/>
  </sheetData>
  <sheetProtection algorithmName="SHA-512" hashValue="Mdm+m++3gFPKDFvGCARFUMGbRWaS962ALYVtbzMZbLDyK7UyCzMZI7P3EO0NYD7DZktbwSDRd9qmcWXkUzoMSQ==" saltValue="b2B5qRPpdzifsVKTkD5PiQ==" spinCount="100000" sheet="1" objects="1" scenarios="1"/>
  <mergeCells count="4">
    <mergeCell ref="A1:I1"/>
    <mergeCell ref="B2:I2"/>
    <mergeCell ref="B21:K21"/>
    <mergeCell ref="B46:K46"/>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905" r:id="rId4" name="Button 1">
              <controlPr defaultSize="0" print="0" autoFill="0" autoPict="0" macro="[0]!Retour_Presentation">
                <anchor moveWithCells="1" sizeWithCells="1">
                  <from>
                    <xdr:col>9</xdr:col>
                    <xdr:colOff>371475</xdr:colOff>
                    <xdr:row>0</xdr:row>
                    <xdr:rowOff>0</xdr:rowOff>
                  </from>
                  <to>
                    <xdr:col>11</xdr:col>
                    <xdr:colOff>723900</xdr:colOff>
                    <xdr:row>3</xdr:row>
                    <xdr:rowOff>28575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D1:Z72"/>
  <sheetViews>
    <sheetView topLeftCell="D15" workbookViewId="0"/>
  </sheetViews>
  <sheetFormatPr baseColWidth="10" defaultColWidth="11.42578125" defaultRowHeight="12.75" x14ac:dyDescent="0.2"/>
  <cols>
    <col min="1" max="3" width="0" style="32" hidden="1" customWidth="1"/>
    <col min="4" max="4" width="13.28515625" style="32" bestFit="1" customWidth="1"/>
    <col min="5" max="7" width="5.7109375" style="32" customWidth="1"/>
    <col min="8" max="9" width="5.85546875" style="32" customWidth="1"/>
    <col min="10" max="10" width="11.42578125" style="32"/>
    <col min="11" max="11" width="5.85546875" style="32" customWidth="1"/>
    <col min="12" max="12" width="5.7109375" style="32" customWidth="1"/>
    <col min="13" max="14" width="5.85546875" style="32" customWidth="1"/>
    <col min="15" max="15" width="5.7109375" style="32" customWidth="1"/>
    <col min="16" max="16" width="4.7109375" style="32" customWidth="1"/>
    <col min="17" max="17" width="7.7109375" style="32" customWidth="1"/>
    <col min="18" max="18" width="10" style="32" customWidth="1"/>
    <col min="19" max="20" width="7.7109375" style="32" customWidth="1"/>
    <col min="21" max="21" width="10" style="32" customWidth="1"/>
    <col min="22" max="23" width="7.7109375" style="32" customWidth="1"/>
    <col min="24" max="24" width="10" style="32" customWidth="1"/>
    <col min="25" max="25" width="7.7109375" style="32" customWidth="1"/>
    <col min="26" max="26" width="8.140625" style="32" customWidth="1"/>
    <col min="27" max="16384" width="11.42578125" style="32"/>
  </cols>
  <sheetData>
    <row r="1" spans="12:26" hidden="1" x14ac:dyDescent="0.2"/>
    <row r="2" spans="12:26" hidden="1" x14ac:dyDescent="0.2"/>
    <row r="3" spans="12:26" hidden="1" x14ac:dyDescent="0.2"/>
    <row r="4" spans="12:26" hidden="1" x14ac:dyDescent="0.2"/>
    <row r="5" spans="12:26" hidden="1" x14ac:dyDescent="0.2"/>
    <row r="6" spans="12:26" hidden="1" x14ac:dyDescent="0.2"/>
    <row r="7" spans="12:26" hidden="1" x14ac:dyDescent="0.2"/>
    <row r="8" spans="12:26" hidden="1" x14ac:dyDescent="0.2"/>
    <row r="9" spans="12:26" hidden="1" x14ac:dyDescent="0.2"/>
    <row r="10" spans="12:26" hidden="1" x14ac:dyDescent="0.2"/>
    <row r="11" spans="12:26" hidden="1" x14ac:dyDescent="0.2"/>
    <row r="12" spans="12:26" hidden="1" x14ac:dyDescent="0.2"/>
    <row r="13" spans="12:26" hidden="1" x14ac:dyDescent="0.2"/>
    <row r="14" spans="12:26" hidden="1" x14ac:dyDescent="0.2"/>
    <row r="15" spans="12:26" ht="13.5" thickTop="1" x14ac:dyDescent="0.2">
      <c r="L15" s="42"/>
      <c r="M15" s="43"/>
      <c r="N15" s="43"/>
      <c r="O15" s="43"/>
      <c r="P15" s="43"/>
      <c r="Q15" s="43"/>
      <c r="R15" s="43"/>
      <c r="S15" s="43"/>
      <c r="T15" s="43"/>
      <c r="U15" s="43"/>
      <c r="V15" s="43"/>
      <c r="W15" s="43"/>
      <c r="X15" s="43"/>
      <c r="Y15" s="43"/>
      <c r="Z15" s="44"/>
    </row>
    <row r="16" spans="12:26" x14ac:dyDescent="0.2">
      <c r="L16" s="45"/>
      <c r="M16" s="46"/>
      <c r="N16" s="46"/>
      <c r="O16" s="46"/>
      <c r="P16" s="46"/>
      <c r="Q16" s="184"/>
      <c r="R16" s="184"/>
      <c r="S16" s="184"/>
      <c r="T16" s="184"/>
      <c r="U16" s="184"/>
      <c r="V16" s="184"/>
      <c r="W16" s="184"/>
      <c r="X16" s="184"/>
      <c r="Y16" s="48" t="s">
        <v>49</v>
      </c>
      <c r="Z16" s="49"/>
    </row>
    <row r="17" spans="4:26" x14ac:dyDescent="0.2">
      <c r="L17" s="45"/>
      <c r="M17" s="46"/>
      <c r="N17" s="46"/>
      <c r="O17" s="46"/>
      <c r="P17" s="46"/>
      <c r="Q17" s="3429" t="s">
        <v>450</v>
      </c>
      <c r="R17" s="3430"/>
      <c r="S17" s="3431"/>
      <c r="T17" s="3429" t="s">
        <v>451</v>
      </c>
      <c r="U17" s="3430"/>
      <c r="V17" s="3431"/>
      <c r="W17" s="3429" t="s">
        <v>665</v>
      </c>
      <c r="X17" s="3430"/>
      <c r="Y17" s="3431"/>
      <c r="Z17" s="49"/>
    </row>
    <row r="18" spans="4:26" x14ac:dyDescent="0.2">
      <c r="L18" s="45"/>
      <c r="M18" s="46"/>
      <c r="N18" s="46"/>
      <c r="O18" s="46"/>
      <c r="P18" s="46"/>
      <c r="Q18" s="533" t="s">
        <v>249</v>
      </c>
      <c r="R18" s="108" t="s">
        <v>247</v>
      </c>
      <c r="S18" s="534" t="s">
        <v>244</v>
      </c>
      <c r="T18" s="533" t="s">
        <v>249</v>
      </c>
      <c r="U18" s="108" t="s">
        <v>247</v>
      </c>
      <c r="V18" s="534" t="s">
        <v>244</v>
      </c>
      <c r="W18" s="533" t="s">
        <v>249</v>
      </c>
      <c r="X18" s="108" t="s">
        <v>247</v>
      </c>
      <c r="Y18" s="534" t="s">
        <v>244</v>
      </c>
      <c r="Z18" s="49"/>
    </row>
    <row r="19" spans="4:26" x14ac:dyDescent="0.2">
      <c r="L19" s="45"/>
      <c r="M19" s="46"/>
      <c r="N19" s="46"/>
      <c r="O19" s="46"/>
      <c r="P19" s="46"/>
      <c r="Q19" s="38" t="s">
        <v>248</v>
      </c>
      <c r="R19" s="39" t="s">
        <v>246</v>
      </c>
      <c r="S19" s="40"/>
      <c r="T19" s="38" t="s">
        <v>248</v>
      </c>
      <c r="U19" s="39" t="s">
        <v>246</v>
      </c>
      <c r="V19" s="40"/>
      <c r="W19" s="38" t="s">
        <v>248</v>
      </c>
      <c r="X19" s="39" t="s">
        <v>246</v>
      </c>
      <c r="Y19" s="40"/>
      <c r="Z19" s="49"/>
    </row>
    <row r="20" spans="4:26" x14ac:dyDescent="0.2">
      <c r="L20" s="45"/>
      <c r="M20" s="46"/>
      <c r="N20" s="46"/>
      <c r="O20" s="46"/>
      <c r="P20" s="46"/>
      <c r="Q20" s="64">
        <f t="shared" ref="Q20:Y20" si="0">Q65*$P65</f>
        <v>2923.0782836463427</v>
      </c>
      <c r="R20" s="65">
        <f t="shared" si="0"/>
        <v>2182.5414402195352</v>
      </c>
      <c r="S20" s="539">
        <f t="shared" si="0"/>
        <v>5105.6197238658779</v>
      </c>
      <c r="T20" s="64">
        <f t="shared" si="0"/>
        <v>1321.1339963967189</v>
      </c>
      <c r="U20" s="65">
        <f t="shared" si="0"/>
        <v>712.61590498395185</v>
      </c>
      <c r="V20" s="539">
        <f t="shared" si="0"/>
        <v>2033.749901380671</v>
      </c>
      <c r="W20" s="64">
        <f t="shared" si="0"/>
        <v>3951.067791766387</v>
      </c>
      <c r="X20" s="65">
        <f t="shared" si="0"/>
        <v>2918.1808867345994</v>
      </c>
      <c r="Y20" s="539">
        <f t="shared" si="0"/>
        <v>6869.2486785009869</v>
      </c>
      <c r="Z20" s="49"/>
    </row>
    <row r="21" spans="4:26" ht="13.5" thickBot="1" x14ac:dyDescent="0.25">
      <c r="L21" s="102"/>
      <c r="M21" s="103"/>
      <c r="N21" s="103"/>
      <c r="O21" s="103"/>
      <c r="P21" s="103"/>
      <c r="Q21" s="103"/>
      <c r="R21" s="103"/>
      <c r="S21" s="103"/>
      <c r="T21" s="103"/>
      <c r="U21" s="103"/>
      <c r="V21" s="103"/>
      <c r="W21" s="103"/>
      <c r="X21" s="103"/>
      <c r="Y21" s="103"/>
      <c r="Z21" s="104"/>
    </row>
    <row r="22" spans="4:26" ht="13.5" thickTop="1" x14ac:dyDescent="0.2"/>
    <row r="23" spans="4:26" x14ac:dyDescent="0.2">
      <c r="D23" s="3432" t="s">
        <v>438</v>
      </c>
      <c r="E23" s="3432"/>
      <c r="F23" s="3432"/>
      <c r="G23" s="3432"/>
      <c r="H23" s="3432"/>
      <c r="I23" s="3432"/>
      <c r="J23" s="3432"/>
      <c r="K23" s="3432"/>
      <c r="L23" s="3432"/>
      <c r="M23" s="3432"/>
      <c r="N23" s="3432"/>
      <c r="O23" s="3432"/>
      <c r="P23" s="3432"/>
    </row>
    <row r="24" spans="4:26" ht="6" customHeight="1" x14ac:dyDescent="0.2">
      <c r="D24" s="188"/>
      <c r="E24" s="188"/>
      <c r="F24" s="188"/>
      <c r="G24" s="188"/>
      <c r="H24" s="188"/>
      <c r="I24" s="188"/>
      <c r="J24" s="188"/>
      <c r="K24" s="188"/>
      <c r="L24" s="188"/>
      <c r="M24" s="188"/>
      <c r="N24" s="188"/>
      <c r="O24" s="188"/>
      <c r="P24" s="188"/>
      <c r="Q24" s="188"/>
      <c r="R24" s="188"/>
      <c r="S24" s="188"/>
      <c r="T24" s="188"/>
      <c r="U24" s="188"/>
      <c r="V24" s="188"/>
    </row>
    <row r="25" spans="4:26" ht="26.25" customHeight="1" x14ac:dyDescent="0.2">
      <c r="D25" s="3433" t="s">
        <v>18</v>
      </c>
      <c r="E25" s="3433"/>
      <c r="F25" s="3433"/>
      <c r="G25" s="3433"/>
      <c r="H25" s="3433"/>
      <c r="I25" s="3433"/>
      <c r="J25" s="3433"/>
      <c r="K25" s="3433"/>
      <c r="L25" s="3433"/>
      <c r="M25" s="3433"/>
      <c r="N25" s="3433"/>
      <c r="O25" s="3433"/>
      <c r="P25" s="3433"/>
      <c r="Q25" s="188"/>
      <c r="R25" s="188"/>
      <c r="S25" s="188"/>
      <c r="T25" s="188"/>
      <c r="U25" s="188"/>
      <c r="V25" s="188"/>
    </row>
    <row r="26" spans="4:26" ht="3" customHeight="1" x14ac:dyDescent="0.2">
      <c r="D26" s="188"/>
      <c r="E26" s="188"/>
      <c r="F26" s="188"/>
      <c r="G26" s="188"/>
      <c r="H26" s="188"/>
      <c r="I26" s="188"/>
      <c r="J26" s="188"/>
      <c r="K26" s="188"/>
      <c r="L26" s="188"/>
      <c r="M26" s="188"/>
      <c r="N26" s="188"/>
      <c r="O26" s="188"/>
      <c r="P26" s="188"/>
      <c r="Q26" s="188"/>
      <c r="R26" s="188"/>
      <c r="S26" s="188"/>
      <c r="T26" s="188"/>
      <c r="U26" s="188"/>
      <c r="V26" s="188"/>
    </row>
    <row r="27" spans="4:26" x14ac:dyDescent="0.2">
      <c r="D27" s="3423" t="s">
        <v>184</v>
      </c>
      <c r="E27" s="3424"/>
      <c r="F27" s="3424"/>
      <c r="G27" s="3424"/>
      <c r="H27" s="3425"/>
      <c r="I27" s="3423" t="s">
        <v>188</v>
      </c>
      <c r="J27" s="3424"/>
      <c r="K27" s="3424"/>
      <c r="L27" s="3424"/>
      <c r="M27" s="3424"/>
      <c r="N27" s="3424"/>
      <c r="O27" s="3424"/>
      <c r="P27" s="3425"/>
      <c r="Q27" s="188"/>
      <c r="R27" s="188"/>
      <c r="S27" s="188"/>
      <c r="T27" s="188"/>
    </row>
    <row r="28" spans="4:26" x14ac:dyDescent="0.2">
      <c r="D28" s="3426" t="s">
        <v>181</v>
      </c>
      <c r="E28" s="3427"/>
      <c r="F28" s="3426" t="s">
        <v>339</v>
      </c>
      <c r="G28" s="3428"/>
      <c r="H28" s="3427"/>
      <c r="I28" s="3426" t="s">
        <v>181</v>
      </c>
      <c r="J28" s="3427" t="s">
        <v>189</v>
      </c>
      <c r="K28" s="3426" t="s">
        <v>190</v>
      </c>
      <c r="L28" s="3428"/>
      <c r="M28" s="3427"/>
      <c r="N28" s="3426" t="s">
        <v>339</v>
      </c>
      <c r="O28" s="3428"/>
      <c r="P28" s="3427"/>
      <c r="Q28" s="188"/>
      <c r="R28" s="188"/>
    </row>
    <row r="29" spans="4:26" x14ac:dyDescent="0.2">
      <c r="D29" s="38" t="s">
        <v>182</v>
      </c>
      <c r="E29" s="40" t="s">
        <v>183</v>
      </c>
      <c r="F29" s="38" t="s">
        <v>186</v>
      </c>
      <c r="G29" s="39" t="s">
        <v>187</v>
      </c>
      <c r="H29" s="40" t="s">
        <v>665</v>
      </c>
      <c r="I29" s="38" t="s">
        <v>163</v>
      </c>
      <c r="J29" s="40" t="s">
        <v>189</v>
      </c>
      <c r="K29" s="38" t="s">
        <v>186</v>
      </c>
      <c r="L29" s="39" t="s">
        <v>187</v>
      </c>
      <c r="M29" s="40" t="s">
        <v>665</v>
      </c>
      <c r="N29" s="38" t="s">
        <v>186</v>
      </c>
      <c r="O29" s="39" t="s">
        <v>187</v>
      </c>
      <c r="P29" s="40" t="s">
        <v>665</v>
      </c>
      <c r="Q29" s="188"/>
      <c r="R29" s="188"/>
    </row>
    <row r="30" spans="4:26" x14ac:dyDescent="0.2">
      <c r="D30" s="540">
        <v>1</v>
      </c>
      <c r="E30" s="541" t="s">
        <v>185</v>
      </c>
      <c r="F30" s="865">
        <f>Paramètres!CC6</f>
        <v>6.9</v>
      </c>
      <c r="G30" s="866">
        <f>Paramètres!CD6</f>
        <v>3.2</v>
      </c>
      <c r="H30" s="866">
        <f>Paramètres!CE6</f>
        <v>9.1999999999999993</v>
      </c>
      <c r="I30" s="540">
        <v>1</v>
      </c>
      <c r="J30" s="541" t="s">
        <v>185</v>
      </c>
      <c r="K30" s="865">
        <f>Paramètres!CH6</f>
        <v>9.5</v>
      </c>
      <c r="L30" s="866">
        <f>Paramètres!CI6</f>
        <v>3</v>
      </c>
      <c r="M30" s="866">
        <f>Paramètres!CJ6</f>
        <v>13.8</v>
      </c>
      <c r="N30" s="865">
        <f>Paramètres!CK6</f>
        <v>1.3</v>
      </c>
      <c r="O30" s="866">
        <f>Paramètres!CL6</f>
        <v>0.46</v>
      </c>
      <c r="P30" s="869">
        <f>Paramètres!CM6</f>
        <v>2.4</v>
      </c>
      <c r="Q30" s="188"/>
      <c r="R30" s="188"/>
    </row>
    <row r="31" spans="4:26" x14ac:dyDescent="0.2">
      <c r="D31" s="540">
        <v>0.75</v>
      </c>
      <c r="E31" s="541">
        <v>0.25</v>
      </c>
      <c r="F31" s="865">
        <f>Paramètres!CC7</f>
        <v>6.4</v>
      </c>
      <c r="G31" s="866">
        <f>Paramètres!CD7</f>
        <v>3</v>
      </c>
      <c r="H31" s="866">
        <f>Paramètres!CE7</f>
        <v>8.3000000000000007</v>
      </c>
      <c r="I31" s="540">
        <v>0.5</v>
      </c>
      <c r="J31" s="541" t="s">
        <v>191</v>
      </c>
      <c r="K31" s="865">
        <f>Paramètres!CH7</f>
        <v>3.6</v>
      </c>
      <c r="L31" s="866">
        <f>Paramètres!CI7</f>
        <v>1.2</v>
      </c>
      <c r="M31" s="866">
        <f>Paramètres!CJ7</f>
        <v>4.5</v>
      </c>
      <c r="N31" s="865">
        <f>Paramètres!CK7</f>
        <v>4.9000000000000004</v>
      </c>
      <c r="O31" s="866">
        <f>Paramètres!CL7</f>
        <v>2.06</v>
      </c>
      <c r="P31" s="870">
        <f>Paramètres!CM7</f>
        <v>8.3000000000000007</v>
      </c>
      <c r="Q31" s="188"/>
      <c r="R31" s="188"/>
    </row>
    <row r="32" spans="4:26" x14ac:dyDescent="0.2">
      <c r="D32" s="540">
        <v>0.5</v>
      </c>
      <c r="E32" s="541">
        <v>0.5</v>
      </c>
      <c r="F32" s="865">
        <f>Paramètres!CC8</f>
        <v>5.9</v>
      </c>
      <c r="G32" s="866">
        <f>Paramètres!CD8</f>
        <v>3</v>
      </c>
      <c r="H32" s="866">
        <f>Paramètres!CE8</f>
        <v>7.5</v>
      </c>
      <c r="I32" s="540">
        <v>0.25</v>
      </c>
      <c r="J32" s="541" t="s">
        <v>192</v>
      </c>
      <c r="K32" s="865">
        <f>Paramètres!CH8</f>
        <v>3.4</v>
      </c>
      <c r="L32" s="866">
        <f>Paramètres!CI8</f>
        <v>1.2</v>
      </c>
      <c r="M32" s="866">
        <f>Paramètres!CJ8</f>
        <v>3.8</v>
      </c>
      <c r="N32" s="865">
        <f>Paramètres!CK8</f>
        <v>4.7</v>
      </c>
      <c r="O32" s="866">
        <f>Paramètres!CL8</f>
        <v>2.06</v>
      </c>
      <c r="P32" s="870">
        <f>Paramètres!CM8</f>
        <v>7.2</v>
      </c>
      <c r="Q32" s="188"/>
      <c r="R32" s="188"/>
    </row>
    <row r="33" spans="4:22" x14ac:dyDescent="0.2">
      <c r="D33" s="540">
        <v>0.25</v>
      </c>
      <c r="E33" s="541">
        <v>0.75</v>
      </c>
      <c r="F33" s="865">
        <f>Paramètres!CC9</f>
        <v>5.5</v>
      </c>
      <c r="G33" s="866">
        <f>Paramètres!CD9</f>
        <v>3</v>
      </c>
      <c r="H33" s="866">
        <f>Paramètres!CE9</f>
        <v>6.5</v>
      </c>
      <c r="I33" s="540">
        <v>0.5</v>
      </c>
      <c r="J33" s="541" t="s">
        <v>193</v>
      </c>
      <c r="K33" s="865">
        <f>Paramètres!CH9</f>
        <v>3.1</v>
      </c>
      <c r="L33" s="866">
        <f>Paramètres!CI9</f>
        <v>1.2</v>
      </c>
      <c r="M33" s="866">
        <f>Paramètres!CJ9</f>
        <v>3.8</v>
      </c>
      <c r="N33" s="865">
        <f>Paramètres!CK9</f>
        <v>4.4000000000000004</v>
      </c>
      <c r="O33" s="866">
        <f>Paramètres!CL9</f>
        <v>2.06</v>
      </c>
      <c r="P33" s="870">
        <f>Paramètres!CM9</f>
        <v>7.1</v>
      </c>
      <c r="Q33" s="188"/>
      <c r="R33" s="188"/>
    </row>
    <row r="34" spans="4:22" x14ac:dyDescent="0.2">
      <c r="D34" s="542" t="s">
        <v>185</v>
      </c>
      <c r="E34" s="543">
        <v>1</v>
      </c>
      <c r="F34" s="867">
        <f>Paramètres!CC10</f>
        <v>5</v>
      </c>
      <c r="G34" s="868">
        <f>Paramètres!CD10</f>
        <v>3</v>
      </c>
      <c r="H34" s="868">
        <f>Paramètres!CE10</f>
        <v>5.7</v>
      </c>
      <c r="I34" s="542">
        <v>0.25</v>
      </c>
      <c r="J34" s="543" t="s">
        <v>194</v>
      </c>
      <c r="K34" s="867">
        <f>Paramètres!CH10</f>
        <v>2.7</v>
      </c>
      <c r="L34" s="868">
        <f>Paramètres!CI10</f>
        <v>1.2</v>
      </c>
      <c r="M34" s="868">
        <f>Paramètres!CJ10</f>
        <v>2.9</v>
      </c>
      <c r="N34" s="867">
        <f>Paramètres!CK10</f>
        <v>3.9</v>
      </c>
      <c r="O34" s="868">
        <f>Paramètres!CL10</f>
        <v>2.06</v>
      </c>
      <c r="P34" s="871">
        <f>Paramètres!CM10</f>
        <v>5.4</v>
      </c>
      <c r="Q34" s="188"/>
      <c r="R34" s="188"/>
    </row>
    <row r="35" spans="4:22" x14ac:dyDescent="0.2">
      <c r="D35" s="188"/>
      <c r="E35" s="188"/>
      <c r="F35" s="188"/>
      <c r="G35" s="189"/>
      <c r="I35" s="188"/>
      <c r="J35" s="544"/>
      <c r="K35" s="188"/>
      <c r="L35" s="188"/>
      <c r="M35" s="188"/>
      <c r="N35" s="188"/>
      <c r="O35" s="188"/>
      <c r="P35" s="188"/>
      <c r="Q35" s="188"/>
      <c r="R35" s="188"/>
      <c r="S35" s="188"/>
      <c r="T35" s="188"/>
    </row>
    <row r="36" spans="4:22" x14ac:dyDescent="0.2">
      <c r="D36" s="545" t="s">
        <v>243</v>
      </c>
      <c r="E36" s="188"/>
      <c r="F36" s="188"/>
      <c r="G36" s="189"/>
      <c r="I36" s="188"/>
      <c r="J36" s="544"/>
      <c r="K36" s="188"/>
      <c r="L36" s="188"/>
      <c r="M36" s="188"/>
      <c r="N36" s="188"/>
      <c r="O36" s="188"/>
      <c r="P36" s="188"/>
      <c r="Q36" s="188"/>
      <c r="R36" s="188"/>
      <c r="S36" s="188"/>
      <c r="T36" s="188"/>
    </row>
    <row r="37" spans="4:22" ht="3" customHeight="1" x14ac:dyDescent="0.2">
      <c r="D37" s="188"/>
      <c r="E37" s="188"/>
      <c r="F37" s="188"/>
      <c r="G37" s="189"/>
      <c r="I37" s="188"/>
      <c r="J37" s="544"/>
      <c r="K37" s="188"/>
      <c r="L37" s="188"/>
      <c r="M37" s="188"/>
      <c r="N37" s="188"/>
      <c r="O37" s="188"/>
      <c r="P37" s="188"/>
      <c r="Q37" s="188"/>
      <c r="R37" s="188"/>
      <c r="S37" s="188"/>
      <c r="T37" s="188"/>
    </row>
    <row r="38" spans="4:22" x14ac:dyDescent="0.2">
      <c r="D38" s="3423" t="s">
        <v>184</v>
      </c>
      <c r="E38" s="3424"/>
      <c r="F38" s="3424"/>
      <c r="G38" s="3424"/>
      <c r="H38" s="3425"/>
      <c r="I38" s="3423" t="s">
        <v>188</v>
      </c>
      <c r="J38" s="3424"/>
      <c r="K38" s="3424"/>
      <c r="L38" s="3424"/>
      <c r="M38" s="3424"/>
      <c r="N38" s="3424"/>
      <c r="O38" s="3424"/>
      <c r="P38" s="3425"/>
      <c r="Q38" s="188"/>
      <c r="R38" s="188"/>
      <c r="S38" s="188"/>
      <c r="T38" s="188"/>
    </row>
    <row r="39" spans="4:22" x14ac:dyDescent="0.2">
      <c r="D39" s="3426" t="s">
        <v>181</v>
      </c>
      <c r="E39" s="3427"/>
      <c r="F39" s="3426" t="s">
        <v>339</v>
      </c>
      <c r="G39" s="3428"/>
      <c r="H39" s="3427"/>
      <c r="I39" s="3426" t="s">
        <v>181</v>
      </c>
      <c r="J39" s="3427" t="s">
        <v>189</v>
      </c>
      <c r="K39" s="3426" t="s">
        <v>190</v>
      </c>
      <c r="L39" s="3428"/>
      <c r="M39" s="3427"/>
      <c r="N39" s="3426" t="s">
        <v>339</v>
      </c>
      <c r="O39" s="3428"/>
      <c r="P39" s="3427"/>
      <c r="Q39" s="188"/>
      <c r="R39" s="188"/>
      <c r="S39" s="188"/>
      <c r="T39" s="188"/>
    </row>
    <row r="40" spans="4:22" x14ac:dyDescent="0.2">
      <c r="D40" s="38" t="s">
        <v>182</v>
      </c>
      <c r="E40" s="40" t="s">
        <v>183</v>
      </c>
      <c r="F40" s="38" t="s">
        <v>186</v>
      </c>
      <c r="G40" s="39" t="s">
        <v>187</v>
      </c>
      <c r="H40" s="40" t="s">
        <v>665</v>
      </c>
      <c r="I40" s="38" t="s">
        <v>163</v>
      </c>
      <c r="J40" s="40" t="s">
        <v>189</v>
      </c>
      <c r="K40" s="38" t="s">
        <v>186</v>
      </c>
      <c r="L40" s="39" t="s">
        <v>187</v>
      </c>
      <c r="M40" s="40" t="s">
        <v>665</v>
      </c>
      <c r="N40" s="38" t="s">
        <v>186</v>
      </c>
      <c r="O40" s="39" t="s">
        <v>187</v>
      </c>
      <c r="P40" s="40" t="s">
        <v>665</v>
      </c>
      <c r="Q40" s="188"/>
      <c r="R40" s="188"/>
      <c r="S40" s="188"/>
      <c r="T40" s="188"/>
    </row>
    <row r="41" spans="4:22" x14ac:dyDescent="0.2">
      <c r="D41" s="540">
        <v>1</v>
      </c>
      <c r="E41" s="541" t="s">
        <v>185</v>
      </c>
      <c r="F41" s="316">
        <f>AVL_StEH100/30.42</f>
        <v>0</v>
      </c>
      <c r="G41" s="312">
        <f t="shared" ref="G41:H45" si="1">$F41</f>
        <v>0</v>
      </c>
      <c r="H41" s="312">
        <f t="shared" si="1"/>
        <v>0</v>
      </c>
      <c r="I41" s="540">
        <v>1</v>
      </c>
      <c r="J41" s="541" t="s">
        <v>185</v>
      </c>
      <c r="K41" s="316">
        <f>AVL_PaHerSeu/30.42</f>
        <v>3.2873109796186717</v>
      </c>
      <c r="L41" s="185">
        <f t="shared" ref="L41:P45" si="2">$K41</f>
        <v>3.2873109796186717</v>
      </c>
      <c r="M41" s="631">
        <f t="shared" si="2"/>
        <v>3.2873109796186717</v>
      </c>
      <c r="N41" s="316">
        <f t="shared" si="2"/>
        <v>3.2873109796186717</v>
      </c>
      <c r="O41" s="185">
        <f t="shared" si="2"/>
        <v>3.2873109796186717</v>
      </c>
      <c r="P41" s="313">
        <f t="shared" si="2"/>
        <v>3.2873109796186717</v>
      </c>
      <c r="Q41" s="188"/>
      <c r="R41" s="188"/>
      <c r="S41" s="188"/>
      <c r="T41" s="188"/>
    </row>
    <row r="42" spans="4:22" x14ac:dyDescent="0.2">
      <c r="D42" s="540">
        <v>0.75</v>
      </c>
      <c r="E42" s="541">
        <v>0.25</v>
      </c>
      <c r="F42" s="316">
        <f>AVL_StEH75/30.42</f>
        <v>5.7527942143326758</v>
      </c>
      <c r="G42" s="185">
        <f t="shared" si="1"/>
        <v>5.7527942143326758</v>
      </c>
      <c r="H42" s="185">
        <f t="shared" si="1"/>
        <v>5.7527942143326758</v>
      </c>
      <c r="I42" s="540">
        <v>0.5</v>
      </c>
      <c r="J42" s="541" t="s">
        <v>191</v>
      </c>
      <c r="K42" s="316">
        <f>AVL_PaH50EH/30.42</f>
        <v>0</v>
      </c>
      <c r="L42" s="185">
        <f t="shared" si="2"/>
        <v>0</v>
      </c>
      <c r="M42" s="631">
        <f t="shared" si="2"/>
        <v>0</v>
      </c>
      <c r="N42" s="316">
        <f t="shared" si="2"/>
        <v>0</v>
      </c>
      <c r="O42" s="185">
        <f t="shared" si="2"/>
        <v>0</v>
      </c>
      <c r="P42" s="317">
        <f t="shared" si="2"/>
        <v>0</v>
      </c>
      <c r="Q42" s="188"/>
      <c r="R42" s="188"/>
      <c r="S42" s="188"/>
      <c r="T42" s="188"/>
    </row>
    <row r="43" spans="4:22" x14ac:dyDescent="0.2">
      <c r="D43" s="540">
        <v>0.5</v>
      </c>
      <c r="E43" s="541">
        <v>0.5</v>
      </c>
      <c r="F43" s="316">
        <f>AVL_StEH50/30.42</f>
        <v>0</v>
      </c>
      <c r="G43" s="185">
        <f t="shared" si="1"/>
        <v>0</v>
      </c>
      <c r="H43" s="185">
        <f t="shared" si="1"/>
        <v>0</v>
      </c>
      <c r="I43" s="540">
        <v>0.25</v>
      </c>
      <c r="J43" s="541" t="s">
        <v>192</v>
      </c>
      <c r="K43" s="316">
        <f>AVL_PaH25EH/30.42</f>
        <v>0</v>
      </c>
      <c r="L43" s="185">
        <f t="shared" si="2"/>
        <v>0</v>
      </c>
      <c r="M43" s="631">
        <f t="shared" si="2"/>
        <v>0</v>
      </c>
      <c r="N43" s="316">
        <f t="shared" si="2"/>
        <v>0</v>
      </c>
      <c r="O43" s="185">
        <f t="shared" si="2"/>
        <v>0</v>
      </c>
      <c r="P43" s="317">
        <f t="shared" si="2"/>
        <v>0</v>
      </c>
      <c r="Q43" s="188"/>
      <c r="R43" s="188"/>
      <c r="S43" s="188"/>
      <c r="T43" s="188"/>
    </row>
    <row r="44" spans="4:22" x14ac:dyDescent="0.2">
      <c r="D44" s="540">
        <v>0.25</v>
      </c>
      <c r="E44" s="541">
        <v>0.75</v>
      </c>
      <c r="F44" s="316">
        <f>AVL_StEH25/30.42</f>
        <v>0</v>
      </c>
      <c r="G44" s="185">
        <f t="shared" si="1"/>
        <v>0</v>
      </c>
      <c r="H44" s="185">
        <f t="shared" si="1"/>
        <v>0</v>
      </c>
      <c r="I44" s="540">
        <v>0.5</v>
      </c>
      <c r="J44" s="541" t="s">
        <v>193</v>
      </c>
      <c r="K44" s="316">
        <f>AVL_PaH50EM/30.42</f>
        <v>2.9585798816568047</v>
      </c>
      <c r="L44" s="185">
        <f t="shared" si="2"/>
        <v>2.9585798816568047</v>
      </c>
      <c r="M44" s="631">
        <f t="shared" si="2"/>
        <v>2.9585798816568047</v>
      </c>
      <c r="N44" s="316">
        <f t="shared" si="2"/>
        <v>2.9585798816568047</v>
      </c>
      <c r="O44" s="185">
        <f t="shared" si="2"/>
        <v>2.9585798816568047</v>
      </c>
      <c r="P44" s="317">
        <f t="shared" si="2"/>
        <v>2.9585798816568047</v>
      </c>
      <c r="Q44" s="188"/>
      <c r="R44" s="188"/>
      <c r="S44" s="188"/>
      <c r="T44" s="188"/>
    </row>
    <row r="45" spans="4:22" x14ac:dyDescent="0.2">
      <c r="D45" s="542" t="s">
        <v>185</v>
      </c>
      <c r="E45" s="543">
        <v>1</v>
      </c>
      <c r="F45" s="423">
        <f>AVL_StEH0/30.42</f>
        <v>0</v>
      </c>
      <c r="G45" s="405">
        <f t="shared" si="1"/>
        <v>0</v>
      </c>
      <c r="H45" s="405">
        <f t="shared" si="1"/>
        <v>0</v>
      </c>
      <c r="I45" s="542">
        <v>0.25</v>
      </c>
      <c r="J45" s="543" t="s">
        <v>194</v>
      </c>
      <c r="K45" s="423">
        <f>AVL_PaH25EM/30.42</f>
        <v>0</v>
      </c>
      <c r="L45" s="405">
        <f t="shared" si="2"/>
        <v>0</v>
      </c>
      <c r="M45" s="450">
        <f t="shared" si="2"/>
        <v>0</v>
      </c>
      <c r="N45" s="423">
        <f t="shared" si="2"/>
        <v>0</v>
      </c>
      <c r="O45" s="405">
        <f t="shared" si="2"/>
        <v>0</v>
      </c>
      <c r="P45" s="450">
        <f t="shared" si="2"/>
        <v>0</v>
      </c>
      <c r="Q45" s="188"/>
      <c r="R45" s="188"/>
      <c r="S45" s="188"/>
      <c r="T45" s="188"/>
    </row>
    <row r="46" spans="4:22" x14ac:dyDescent="0.2">
      <c r="D46" s="188"/>
      <c r="E46" s="188"/>
      <c r="F46" s="188"/>
      <c r="G46" s="188"/>
      <c r="H46" s="188"/>
      <c r="I46" s="188"/>
      <c r="J46" s="188"/>
      <c r="K46" s="188"/>
      <c r="L46" s="188"/>
      <c r="M46" s="188"/>
      <c r="N46" s="188"/>
      <c r="O46" s="188"/>
      <c r="P46" s="188"/>
      <c r="Q46" s="188"/>
      <c r="R46" s="188"/>
      <c r="S46" s="188"/>
      <c r="T46" s="188"/>
      <c r="U46" s="188"/>
      <c r="V46" s="188"/>
    </row>
    <row r="47" spans="4:22" x14ac:dyDescent="0.2">
      <c r="D47" s="545" t="s">
        <v>113</v>
      </c>
      <c r="E47" s="188"/>
      <c r="F47" s="188"/>
      <c r="G47" s="188"/>
      <c r="H47" s="188"/>
      <c r="I47" s="188"/>
      <c r="J47" s="188"/>
      <c r="K47" s="188"/>
      <c r="L47" s="188"/>
      <c r="M47" s="188"/>
      <c r="N47" s="188"/>
      <c r="O47" s="188"/>
      <c r="P47" s="188"/>
      <c r="Q47" s="188"/>
      <c r="R47" s="188"/>
      <c r="S47" s="188"/>
      <c r="T47" s="188"/>
      <c r="U47" s="188"/>
      <c r="V47" s="188"/>
    </row>
    <row r="48" spans="4:22" ht="3" customHeight="1" x14ac:dyDescent="0.2">
      <c r="D48" s="188"/>
      <c r="E48" s="188"/>
      <c r="F48" s="188"/>
      <c r="G48" s="188"/>
      <c r="H48" s="188"/>
      <c r="I48" s="188"/>
      <c r="J48" s="188"/>
      <c r="K48" s="188"/>
      <c r="L48" s="188"/>
      <c r="M48" s="188"/>
      <c r="N48" s="188"/>
      <c r="O48" s="188"/>
      <c r="P48" s="188"/>
      <c r="Q48" s="188"/>
      <c r="R48" s="188"/>
      <c r="S48" s="188"/>
      <c r="T48" s="188"/>
      <c r="U48" s="188"/>
      <c r="V48" s="188"/>
    </row>
    <row r="49" spans="4:25" x14ac:dyDescent="0.2">
      <c r="D49" s="3423" t="s">
        <v>184</v>
      </c>
      <c r="E49" s="3424"/>
      <c r="F49" s="3424"/>
      <c r="G49" s="3424"/>
      <c r="H49" s="3425"/>
      <c r="I49" s="3423" t="s">
        <v>188</v>
      </c>
      <c r="J49" s="3424"/>
      <c r="K49" s="3424"/>
      <c r="L49" s="3424"/>
      <c r="M49" s="3424"/>
      <c r="N49" s="3424"/>
      <c r="O49" s="3424"/>
      <c r="P49" s="3425"/>
      <c r="Q49" s="3423" t="s">
        <v>245</v>
      </c>
      <c r="R49" s="3424"/>
      <c r="S49" s="3425"/>
      <c r="T49" s="3423" t="s">
        <v>250</v>
      </c>
      <c r="U49" s="3424"/>
      <c r="V49" s="3425"/>
      <c r="W49" s="3423" t="s">
        <v>754</v>
      </c>
      <c r="X49" s="3424"/>
      <c r="Y49" s="3425"/>
    </row>
    <row r="50" spans="4:25" x14ac:dyDescent="0.2">
      <c r="D50" s="3426" t="s">
        <v>181</v>
      </c>
      <c r="E50" s="3427"/>
      <c r="F50" s="3426" t="s">
        <v>339</v>
      </c>
      <c r="G50" s="3428"/>
      <c r="H50" s="3427"/>
      <c r="I50" s="3426" t="s">
        <v>181</v>
      </c>
      <c r="J50" s="3427" t="s">
        <v>189</v>
      </c>
      <c r="K50" s="3426" t="s">
        <v>190</v>
      </c>
      <c r="L50" s="3428"/>
      <c r="M50" s="3427"/>
      <c r="N50" s="3426" t="s">
        <v>339</v>
      </c>
      <c r="O50" s="3428"/>
      <c r="P50" s="3427"/>
      <c r="Q50" s="533" t="s">
        <v>249</v>
      </c>
      <c r="R50" s="108" t="s">
        <v>247</v>
      </c>
      <c r="S50" s="534" t="s">
        <v>244</v>
      </c>
      <c r="T50" s="533" t="s">
        <v>249</v>
      </c>
      <c r="U50" s="108" t="s">
        <v>247</v>
      </c>
      <c r="V50" s="534" t="s">
        <v>244</v>
      </c>
      <c r="W50" s="533" t="s">
        <v>249</v>
      </c>
      <c r="X50" s="108" t="s">
        <v>247</v>
      </c>
      <c r="Y50" s="534" t="s">
        <v>244</v>
      </c>
    </row>
    <row r="51" spans="4:25" x14ac:dyDescent="0.2">
      <c r="D51" s="38" t="s">
        <v>182</v>
      </c>
      <c r="E51" s="40" t="s">
        <v>183</v>
      </c>
      <c r="F51" s="38" t="s">
        <v>186</v>
      </c>
      <c r="G51" s="39" t="s">
        <v>187</v>
      </c>
      <c r="H51" s="40" t="s">
        <v>665</v>
      </c>
      <c r="I51" s="38" t="s">
        <v>163</v>
      </c>
      <c r="J51" s="40" t="s">
        <v>189</v>
      </c>
      <c r="K51" s="38" t="s">
        <v>186</v>
      </c>
      <c r="L51" s="39" t="s">
        <v>187</v>
      </c>
      <c r="M51" s="40" t="s">
        <v>665</v>
      </c>
      <c r="N51" s="38" t="s">
        <v>186</v>
      </c>
      <c r="O51" s="39" t="s">
        <v>187</v>
      </c>
      <c r="P51" s="40" t="s">
        <v>665</v>
      </c>
      <c r="Q51" s="38" t="s">
        <v>248</v>
      </c>
      <c r="R51" s="39" t="s">
        <v>246</v>
      </c>
      <c r="S51" s="40"/>
      <c r="T51" s="38" t="s">
        <v>248</v>
      </c>
      <c r="U51" s="39" t="s">
        <v>246</v>
      </c>
      <c r="V51" s="40"/>
      <c r="W51" s="38" t="s">
        <v>248</v>
      </c>
      <c r="X51" s="39" t="s">
        <v>246</v>
      </c>
      <c r="Y51" s="40"/>
    </row>
    <row r="52" spans="4:25" x14ac:dyDescent="0.2">
      <c r="D52" s="540">
        <v>1</v>
      </c>
      <c r="E52" s="541" t="s">
        <v>185</v>
      </c>
      <c r="F52" s="344">
        <f t="shared" ref="F52:H56" si="3">F30*F41</f>
        <v>0</v>
      </c>
      <c r="G52" s="312">
        <f t="shared" si="3"/>
        <v>0</v>
      </c>
      <c r="H52" s="317">
        <f t="shared" si="3"/>
        <v>0</v>
      </c>
      <c r="I52" s="540">
        <v>1</v>
      </c>
      <c r="J52" s="541" t="s">
        <v>185</v>
      </c>
      <c r="K52" s="344">
        <f t="shared" ref="K52:P56" si="4">K30*K41</f>
        <v>31.229454306377381</v>
      </c>
      <c r="L52" s="185">
        <f t="shared" si="4"/>
        <v>9.8619329388560146</v>
      </c>
      <c r="M52" s="313">
        <f t="shared" si="4"/>
        <v>45.364891518737672</v>
      </c>
      <c r="N52" s="344">
        <f t="shared" si="4"/>
        <v>4.2735042735042734</v>
      </c>
      <c r="O52" s="185">
        <f t="shared" si="4"/>
        <v>1.5121630506245891</v>
      </c>
      <c r="P52" s="313">
        <f t="shared" si="4"/>
        <v>7.8895463510848121</v>
      </c>
      <c r="Q52" s="546"/>
      <c r="R52" s="547"/>
      <c r="S52" s="548"/>
      <c r="T52" s="546"/>
      <c r="U52" s="547"/>
      <c r="V52" s="548"/>
      <c r="W52" s="546"/>
      <c r="X52" s="547"/>
      <c r="Y52" s="548"/>
    </row>
    <row r="53" spans="4:25" x14ac:dyDescent="0.2">
      <c r="D53" s="540">
        <v>0.75</v>
      </c>
      <c r="E53" s="541">
        <v>0.25</v>
      </c>
      <c r="F53" s="344">
        <f t="shared" si="3"/>
        <v>36.817882971729126</v>
      </c>
      <c r="G53" s="185">
        <f t="shared" si="3"/>
        <v>17.258382642998029</v>
      </c>
      <c r="H53" s="317">
        <f t="shared" si="3"/>
        <v>47.748191978961216</v>
      </c>
      <c r="I53" s="540">
        <v>0.5</v>
      </c>
      <c r="J53" s="541" t="s">
        <v>191</v>
      </c>
      <c r="K53" s="344">
        <f t="shared" si="4"/>
        <v>0</v>
      </c>
      <c r="L53" s="185">
        <f t="shared" si="4"/>
        <v>0</v>
      </c>
      <c r="M53" s="317">
        <f t="shared" si="4"/>
        <v>0</v>
      </c>
      <c r="N53" s="344">
        <f t="shared" si="4"/>
        <v>0</v>
      </c>
      <c r="O53" s="185">
        <f t="shared" si="4"/>
        <v>0</v>
      </c>
      <c r="P53" s="317">
        <f t="shared" si="4"/>
        <v>0</v>
      </c>
      <c r="Q53" s="549"/>
      <c r="R53" s="165"/>
      <c r="S53" s="550"/>
      <c r="T53" s="549"/>
      <c r="U53" s="165"/>
      <c r="V53" s="550"/>
      <c r="W53" s="549"/>
      <c r="X53" s="165"/>
      <c r="Y53" s="550"/>
    </row>
    <row r="54" spans="4:25" x14ac:dyDescent="0.2">
      <c r="D54" s="540">
        <v>0.5</v>
      </c>
      <c r="E54" s="541">
        <v>0.5</v>
      </c>
      <c r="F54" s="344">
        <f t="shared" si="3"/>
        <v>0</v>
      </c>
      <c r="G54" s="185">
        <f t="shared" si="3"/>
        <v>0</v>
      </c>
      <c r="H54" s="317">
        <f t="shared" si="3"/>
        <v>0</v>
      </c>
      <c r="I54" s="540">
        <v>0.25</v>
      </c>
      <c r="J54" s="541" t="s">
        <v>192</v>
      </c>
      <c r="K54" s="344">
        <f t="shared" si="4"/>
        <v>0</v>
      </c>
      <c r="L54" s="185">
        <f t="shared" si="4"/>
        <v>0</v>
      </c>
      <c r="M54" s="317">
        <f t="shared" si="4"/>
        <v>0</v>
      </c>
      <c r="N54" s="344">
        <f t="shared" si="4"/>
        <v>0</v>
      </c>
      <c r="O54" s="185">
        <f t="shared" si="4"/>
        <v>0</v>
      </c>
      <c r="P54" s="317">
        <f t="shared" si="4"/>
        <v>0</v>
      </c>
      <c r="Q54" s="549"/>
      <c r="R54" s="165"/>
      <c r="S54" s="550"/>
      <c r="T54" s="549"/>
      <c r="U54" s="165"/>
      <c r="V54" s="550"/>
      <c r="W54" s="549"/>
      <c r="X54" s="165"/>
      <c r="Y54" s="550"/>
    </row>
    <row r="55" spans="4:25" x14ac:dyDescent="0.2">
      <c r="D55" s="540">
        <v>0.25</v>
      </c>
      <c r="E55" s="541">
        <v>0.75</v>
      </c>
      <c r="F55" s="344">
        <f t="shared" si="3"/>
        <v>0</v>
      </c>
      <c r="G55" s="185">
        <f t="shared" si="3"/>
        <v>0</v>
      </c>
      <c r="H55" s="317">
        <f t="shared" si="3"/>
        <v>0</v>
      </c>
      <c r="I55" s="540">
        <v>0.5</v>
      </c>
      <c r="J55" s="541" t="s">
        <v>193</v>
      </c>
      <c r="K55" s="344">
        <f t="shared" si="4"/>
        <v>9.1715976331360949</v>
      </c>
      <c r="L55" s="185">
        <f t="shared" si="4"/>
        <v>3.5502958579881656</v>
      </c>
      <c r="M55" s="317">
        <f t="shared" si="4"/>
        <v>11.242603550295858</v>
      </c>
      <c r="N55" s="344">
        <f t="shared" si="4"/>
        <v>13.017751479289942</v>
      </c>
      <c r="O55" s="185">
        <f t="shared" si="4"/>
        <v>6.0946745562130182</v>
      </c>
      <c r="P55" s="317">
        <f t="shared" si="4"/>
        <v>21.005917159763314</v>
      </c>
      <c r="Q55" s="549"/>
      <c r="R55" s="165"/>
      <c r="S55" s="550"/>
      <c r="T55" s="549"/>
      <c r="U55" s="165"/>
      <c r="V55" s="550"/>
      <c r="W55" s="549"/>
      <c r="X55" s="165"/>
      <c r="Y55" s="550"/>
    </row>
    <row r="56" spans="4:25" x14ac:dyDescent="0.2">
      <c r="D56" s="542" t="s">
        <v>185</v>
      </c>
      <c r="E56" s="543">
        <v>1</v>
      </c>
      <c r="F56" s="532">
        <f t="shared" si="3"/>
        <v>0</v>
      </c>
      <c r="G56" s="405">
        <f t="shared" si="3"/>
        <v>0</v>
      </c>
      <c r="H56" s="450">
        <f t="shared" si="3"/>
        <v>0</v>
      </c>
      <c r="I56" s="542">
        <v>0.25</v>
      </c>
      <c r="J56" s="543" t="s">
        <v>194</v>
      </c>
      <c r="K56" s="532">
        <f t="shared" si="4"/>
        <v>0</v>
      </c>
      <c r="L56" s="405">
        <f t="shared" si="4"/>
        <v>0</v>
      </c>
      <c r="M56" s="450">
        <f t="shared" si="4"/>
        <v>0</v>
      </c>
      <c r="N56" s="532">
        <f t="shared" si="4"/>
        <v>0</v>
      </c>
      <c r="O56" s="405">
        <f t="shared" si="4"/>
        <v>0</v>
      </c>
      <c r="P56" s="450">
        <f t="shared" si="4"/>
        <v>0</v>
      </c>
      <c r="Q56" s="551"/>
      <c r="R56" s="552"/>
      <c r="S56" s="553"/>
      <c r="T56" s="551"/>
      <c r="U56" s="552"/>
      <c r="V56" s="553"/>
      <c r="W56" s="551"/>
      <c r="X56" s="552"/>
      <c r="Y56" s="553"/>
    </row>
    <row r="57" spans="4:25" x14ac:dyDescent="0.2">
      <c r="D57" s="554"/>
      <c r="E57" s="555" t="s">
        <v>244</v>
      </c>
      <c r="F57" s="556">
        <f>SUM(F52:F56)</f>
        <v>36.817882971729126</v>
      </c>
      <c r="G57" s="632">
        <f>SUM(G52:G56)</f>
        <v>17.258382642998029</v>
      </c>
      <c r="H57" s="557">
        <f>SUM(H52:H56)</f>
        <v>47.748191978961216</v>
      </c>
      <c r="I57" s="558"/>
      <c r="J57" s="557"/>
      <c r="K57" s="556">
        <f t="shared" ref="K57:P57" si="5">SUM(K52:K56)</f>
        <v>40.401051939513479</v>
      </c>
      <c r="L57" s="632">
        <f t="shared" si="5"/>
        <v>13.412228796844181</v>
      </c>
      <c r="M57" s="557">
        <f t="shared" si="5"/>
        <v>56.607495069033533</v>
      </c>
      <c r="N57" s="556">
        <f t="shared" si="5"/>
        <v>17.291255752794214</v>
      </c>
      <c r="O57" s="632">
        <f t="shared" si="5"/>
        <v>7.6068376068376073</v>
      </c>
      <c r="P57" s="557">
        <f t="shared" si="5"/>
        <v>28.895463510848124</v>
      </c>
      <c r="Q57" s="559">
        <f>F57+N57</f>
        <v>54.109138724523341</v>
      </c>
      <c r="R57" s="560">
        <f>K57</f>
        <v>40.401051939513479</v>
      </c>
      <c r="S57" s="561">
        <f>Q57+R57</f>
        <v>94.510190664036827</v>
      </c>
      <c r="T57" s="562">
        <f>G57+O57</f>
        <v>24.865220249835637</v>
      </c>
      <c r="U57" s="563">
        <f>L57</f>
        <v>13.412228796844181</v>
      </c>
      <c r="V57" s="564">
        <f>T57+U57</f>
        <v>38.27744904667982</v>
      </c>
      <c r="W57" s="562">
        <f>H57+P57</f>
        <v>76.643655489809333</v>
      </c>
      <c r="X57" s="563">
        <f>M57</f>
        <v>56.607495069033533</v>
      </c>
      <c r="Y57" s="564">
        <f>W57+X57</f>
        <v>133.25115055884288</v>
      </c>
    </row>
    <row r="58" spans="4:25" x14ac:dyDescent="0.2">
      <c r="D58" s="188"/>
      <c r="E58" s="188"/>
      <c r="F58" s="188"/>
      <c r="G58" s="188"/>
      <c r="H58" s="188"/>
      <c r="I58" s="188"/>
      <c r="J58" s="188"/>
      <c r="K58" s="188"/>
      <c r="L58" s="188"/>
      <c r="M58" s="188"/>
      <c r="Q58" s="188"/>
      <c r="R58" s="188"/>
      <c r="S58" s="188"/>
      <c r="T58" s="188"/>
      <c r="U58" s="188"/>
      <c r="V58" s="188"/>
      <c r="W58" s="188"/>
      <c r="X58" s="188"/>
      <c r="Y58" s="188"/>
    </row>
    <row r="59" spans="4:25" x14ac:dyDescent="0.2">
      <c r="D59" s="851"/>
      <c r="E59" s="851"/>
      <c r="F59" s="851"/>
      <c r="G59" s="852" t="s">
        <v>340</v>
      </c>
      <c r="H59" s="853">
        <f>VL_Litrage</f>
        <v>6800</v>
      </c>
      <c r="I59" s="854" t="s">
        <v>236</v>
      </c>
      <c r="J59" s="851"/>
      <c r="K59" s="538" t="s">
        <v>341</v>
      </c>
      <c r="L59" s="538"/>
      <c r="M59" s="188"/>
      <c r="Q59" s="188"/>
      <c r="R59" s="189" t="s">
        <v>186</v>
      </c>
      <c r="S59" s="185">
        <f>IF($H$59=0,0,R60*($H$59-6000))</f>
        <v>5.6000000000000005</v>
      </c>
      <c r="U59" s="189" t="s">
        <v>251</v>
      </c>
      <c r="V59" s="185">
        <f>IF($H$59=0,0,U60*($H$59-6000))</f>
        <v>1.6</v>
      </c>
      <c r="W59" s="185"/>
      <c r="X59" s="383" t="s">
        <v>665</v>
      </c>
      <c r="Y59" s="185">
        <f>IF($H$59=0,0,X60*($H$59-6000))</f>
        <v>1.44</v>
      </c>
    </row>
    <row r="60" spans="4:25" x14ac:dyDescent="0.2">
      <c r="D60" s="188"/>
      <c r="E60" s="188"/>
      <c r="F60" s="188"/>
      <c r="G60" s="188"/>
      <c r="H60" s="188"/>
      <c r="I60" s="188"/>
      <c r="J60" s="188"/>
      <c r="K60" s="188"/>
      <c r="L60" s="188"/>
      <c r="M60" s="188"/>
      <c r="Q60" s="188"/>
      <c r="R60" s="182">
        <f>Paramètres!CG15</f>
        <v>7.0000000000000001E-3</v>
      </c>
      <c r="T60" s="188"/>
      <c r="U60" s="182">
        <f>Paramètres!CI15</f>
        <v>2E-3</v>
      </c>
      <c r="V60" s="188"/>
      <c r="W60" s="188"/>
      <c r="X60" s="182">
        <f>Paramètres!CK15</f>
        <v>1.8E-3</v>
      </c>
      <c r="Y60" s="188"/>
    </row>
    <row r="61" spans="4:25" x14ac:dyDescent="0.2">
      <c r="D61" s="188"/>
      <c r="E61" s="188"/>
      <c r="F61" s="188"/>
      <c r="G61" s="188"/>
      <c r="H61" s="188"/>
      <c r="I61" s="188"/>
      <c r="J61" s="188"/>
      <c r="K61" s="188"/>
      <c r="L61" s="188"/>
      <c r="M61" s="188"/>
      <c r="Q61" s="188"/>
      <c r="R61" s="188"/>
      <c r="S61" s="188"/>
      <c r="T61" s="188"/>
      <c r="U61" s="188"/>
      <c r="V61" s="188"/>
      <c r="W61" s="188"/>
      <c r="X61" s="188"/>
      <c r="Y61" s="33" t="s">
        <v>104</v>
      </c>
    </row>
    <row r="62" spans="4:25" x14ac:dyDescent="0.2">
      <c r="D62" s="188"/>
      <c r="E62" s="188"/>
      <c r="F62" s="188"/>
      <c r="G62" s="188"/>
      <c r="H62" s="188"/>
      <c r="I62" s="188"/>
      <c r="J62" s="188"/>
      <c r="K62" s="188"/>
      <c r="L62" s="188"/>
      <c r="M62" s="188"/>
      <c r="Q62" s="3429" t="s">
        <v>252</v>
      </c>
      <c r="R62" s="3430"/>
      <c r="S62" s="3431"/>
      <c r="T62" s="3429" t="s">
        <v>253</v>
      </c>
      <c r="U62" s="3430"/>
      <c r="V62" s="3431"/>
      <c r="W62" s="3429" t="s">
        <v>753</v>
      </c>
      <c r="X62" s="3430"/>
      <c r="Y62" s="3431"/>
    </row>
    <row r="63" spans="4:25" x14ac:dyDescent="0.2">
      <c r="D63" s="188"/>
      <c r="E63" s="188"/>
      <c r="F63" s="188"/>
      <c r="G63" s="188"/>
      <c r="H63" s="188"/>
      <c r="I63" s="188"/>
      <c r="J63" s="188"/>
      <c r="K63" s="188"/>
      <c r="L63" s="188"/>
      <c r="M63" s="188"/>
      <c r="Q63" s="533" t="s">
        <v>249</v>
      </c>
      <c r="R63" s="108" t="s">
        <v>247</v>
      </c>
      <c r="S63" s="534" t="s">
        <v>244</v>
      </c>
      <c r="T63" s="533" t="s">
        <v>249</v>
      </c>
      <c r="U63" s="108" t="s">
        <v>247</v>
      </c>
      <c r="V63" s="534" t="s">
        <v>244</v>
      </c>
      <c r="W63" s="533" t="s">
        <v>249</v>
      </c>
      <c r="X63" s="108" t="s">
        <v>247</v>
      </c>
      <c r="Y63" s="534" t="s">
        <v>244</v>
      </c>
    </row>
    <row r="64" spans="4:25" x14ac:dyDescent="0.2">
      <c r="D64" s="188"/>
      <c r="E64" s="188"/>
      <c r="F64" s="188"/>
      <c r="G64" s="188"/>
      <c r="H64" s="188"/>
      <c r="I64" s="188"/>
      <c r="J64" s="188"/>
      <c r="K64" s="188"/>
      <c r="L64" s="188"/>
      <c r="M64" s="188"/>
      <c r="Q64" s="38" t="s">
        <v>248</v>
      </c>
      <c r="R64" s="39" t="s">
        <v>246</v>
      </c>
      <c r="S64" s="40"/>
      <c r="T64" s="38" t="s">
        <v>248</v>
      </c>
      <c r="U64" s="39" t="s">
        <v>246</v>
      </c>
      <c r="V64" s="40"/>
      <c r="W64" s="38" t="s">
        <v>248</v>
      </c>
      <c r="X64" s="39" t="s">
        <v>246</v>
      </c>
      <c r="Y64" s="40"/>
    </row>
    <row r="65" spans="4:25" x14ac:dyDescent="0.2">
      <c r="D65" s="188"/>
      <c r="E65" s="188"/>
      <c r="F65" s="188"/>
      <c r="G65" s="188"/>
      <c r="H65" s="188"/>
      <c r="I65"/>
      <c r="J65"/>
      <c r="K65"/>
      <c r="L65" s="851"/>
      <c r="M65" s="851"/>
      <c r="N65" s="851"/>
      <c r="O65" s="852" t="s">
        <v>406</v>
      </c>
      <c r="P65" s="855">
        <f>VL_NbVaches</f>
        <v>51</v>
      </c>
      <c r="Q65" s="197">
        <f>S65-R65</f>
        <v>57.315260463653779</v>
      </c>
      <c r="R65" s="198">
        <f>IF(S57=0,0,S65*R57/S57)</f>
        <v>42.794930200383043</v>
      </c>
      <c r="S65" s="565">
        <f>IF(S57=0,0,S57+S59)</f>
        <v>100.11019066403682</v>
      </c>
      <c r="T65" s="200">
        <f>V65-U65</f>
        <v>25.904588164641549</v>
      </c>
      <c r="U65" s="201">
        <f>IF(V57=0,0,V65*U57/V57)</f>
        <v>13.972860882038272</v>
      </c>
      <c r="V65" s="566">
        <f>IF(V57=0,0,V57+V59)</f>
        <v>39.877449046679821</v>
      </c>
      <c r="W65" s="200">
        <f>Y65-X65</f>
        <v>77.471917485615435</v>
      </c>
      <c r="X65" s="201">
        <f>IF(Y57=0,0,Y65*X57/Y57)</f>
        <v>57.219233073227443</v>
      </c>
      <c r="Y65" s="566">
        <f>IF(Y57=0,0,Y57+Y59)</f>
        <v>134.69115055884288</v>
      </c>
    </row>
    <row r="66" spans="4:25" x14ac:dyDescent="0.2">
      <c r="D66" s="188"/>
      <c r="E66" s="188"/>
      <c r="F66" s="188"/>
      <c r="G66" s="188"/>
      <c r="H66" s="188"/>
      <c r="I66" s="188"/>
      <c r="J66" s="188"/>
      <c r="K66" s="188"/>
      <c r="L66" s="188"/>
    </row>
    <row r="67" spans="4:25" x14ac:dyDescent="0.2">
      <c r="D67" s="188"/>
      <c r="E67" s="188"/>
      <c r="F67" s="188"/>
      <c r="G67" s="188"/>
      <c r="H67" s="188"/>
      <c r="I67" s="188"/>
      <c r="J67" s="188"/>
      <c r="K67" s="188"/>
      <c r="L67" s="188"/>
    </row>
    <row r="68" spans="4:25" x14ac:dyDescent="0.2">
      <c r="D68" s="188"/>
      <c r="E68" s="188"/>
      <c r="F68" s="188"/>
      <c r="G68" s="188"/>
      <c r="H68" s="188"/>
      <c r="I68" s="188"/>
      <c r="J68" s="188"/>
      <c r="K68" s="188"/>
      <c r="L68" s="188"/>
    </row>
    <row r="69" spans="4:25" x14ac:dyDescent="0.2">
      <c r="D69" s="188"/>
      <c r="E69" s="188"/>
      <c r="F69" s="188"/>
      <c r="G69" s="188"/>
      <c r="H69" s="188"/>
      <c r="I69" s="188"/>
      <c r="J69" s="188"/>
      <c r="K69" s="188"/>
      <c r="L69" s="188"/>
    </row>
    <row r="70" spans="4:25" x14ac:dyDescent="0.2">
      <c r="D70" s="188"/>
      <c r="E70" s="188"/>
      <c r="F70" s="188"/>
      <c r="G70" s="188"/>
      <c r="H70" s="188"/>
      <c r="I70" s="188"/>
      <c r="J70" s="188"/>
      <c r="K70" s="188"/>
      <c r="L70" s="188"/>
    </row>
    <row r="71" spans="4:25" x14ac:dyDescent="0.2">
      <c r="D71" s="188"/>
      <c r="E71" s="188"/>
      <c r="F71" s="188"/>
      <c r="G71" s="188"/>
      <c r="H71" s="188"/>
      <c r="I71" s="188"/>
      <c r="J71" s="188"/>
      <c r="K71" s="188"/>
      <c r="L71" s="188"/>
    </row>
    <row r="72" spans="4:25" x14ac:dyDescent="0.2">
      <c r="D72" s="188"/>
      <c r="E72" s="188"/>
      <c r="F72" s="188"/>
      <c r="G72" s="188"/>
      <c r="H72" s="188"/>
      <c r="I72" s="188"/>
      <c r="J72" s="188"/>
      <c r="K72" s="188"/>
      <c r="L72" s="188"/>
    </row>
  </sheetData>
  <sheetProtection algorithmName="SHA-512" hashValue="Dugp1EBoR6xuIYvjJPkMIN8u76VswlqIeOws7Vl2u7W9c6dpulKa1XPg2UlFGD7rBGvmTQ3+oXP6CjD6M0pTJw==" saltValue="TPjf3n9L16Qz6XXPxD1iZA==" spinCount="100000" sheet="1" objects="1" scenarios="1"/>
  <mergeCells count="32">
    <mergeCell ref="D50:E50"/>
    <mergeCell ref="T62:V62"/>
    <mergeCell ref="F50:H50"/>
    <mergeCell ref="I50:J50"/>
    <mergeCell ref="K50:M50"/>
    <mergeCell ref="Q17:S17"/>
    <mergeCell ref="T17:V17"/>
    <mergeCell ref="Q62:S62"/>
    <mergeCell ref="N50:P50"/>
    <mergeCell ref="W62:Y62"/>
    <mergeCell ref="W49:Y49"/>
    <mergeCell ref="W17:Y17"/>
    <mergeCell ref="D23:P23"/>
    <mergeCell ref="D25:P25"/>
    <mergeCell ref="K39:M39"/>
    <mergeCell ref="N39:P39"/>
    <mergeCell ref="D27:H27"/>
    <mergeCell ref="F28:H28"/>
    <mergeCell ref="N28:P28"/>
    <mergeCell ref="K28:M28"/>
    <mergeCell ref="I27:P27"/>
    <mergeCell ref="T49:V49"/>
    <mergeCell ref="D28:E28"/>
    <mergeCell ref="I28:J28"/>
    <mergeCell ref="Q49:S49"/>
    <mergeCell ref="D39:E39"/>
    <mergeCell ref="I39:J39"/>
    <mergeCell ref="F39:H39"/>
    <mergeCell ref="D38:H38"/>
    <mergeCell ref="I38:P38"/>
    <mergeCell ref="D49:H49"/>
    <mergeCell ref="I49:P49"/>
  </mergeCells>
  <phoneticPr fontId="0" type="noConversion"/>
  <conditionalFormatting sqref="Q57:Y57">
    <cfRule type="expression" dxfId="13" priority="1" stopIfTrue="1">
      <formula>IF($J46=0,FALSE,TRUE)</formula>
    </cfRule>
  </conditionalFormatting>
  <conditionalFormatting sqref="D41:H45 D52:H56">
    <cfRule type="expression" dxfId="12" priority="2" stopIfTrue="1">
      <formula>IF($F41=0,FALSE,TRUE)</formula>
    </cfRule>
  </conditionalFormatting>
  <conditionalFormatting sqref="I41:L45 N41:O45 I52:P56">
    <cfRule type="expression" dxfId="11" priority="4" stopIfTrue="1">
      <formula>IF($K41=0,FALSE,TRUE)</formula>
    </cfRule>
  </conditionalFormatting>
  <conditionalFormatting sqref="D57:P57">
    <cfRule type="expression" dxfId="10" priority="5" stopIfTrue="1">
      <formula>IF($F46=0,FALSE,TRUE)</formula>
    </cfRule>
  </conditionalFormatting>
  <printOptions horizontalCentered="1" verticalCentered="1"/>
  <pageMargins left="0.78740157480314965" right="0.78740157480314965" top="0.98425196850393704" bottom="0.98425196850393704" header="0.51181102362204722" footer="0.51181102362204722"/>
  <pageSetup paperSize="9" scale="74"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AN36"/>
  <sheetViews>
    <sheetView topLeftCell="A14" workbookViewId="0"/>
  </sheetViews>
  <sheetFormatPr baseColWidth="10" defaultColWidth="11.42578125" defaultRowHeight="12.75" x14ac:dyDescent="0.2"/>
  <cols>
    <col min="1" max="1" width="3.42578125" style="32" customWidth="1"/>
    <col min="2" max="9" width="1.140625" style="32" hidden="1" customWidth="1"/>
    <col min="10" max="10" width="15.140625" style="32" customWidth="1"/>
    <col min="11" max="11" width="11.85546875" style="32" customWidth="1"/>
    <col min="12" max="12" width="8.5703125" style="32" customWidth="1"/>
    <col min="13" max="13" width="12.42578125" style="32" bestFit="1"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5.85546875" style="32" customWidth="1"/>
    <col min="24" max="24" width="5.140625" style="32" customWidth="1"/>
    <col min="25" max="25" width="4.42578125" style="32" customWidth="1"/>
    <col min="26" max="26" width="5.140625" style="32" customWidth="1"/>
    <col min="27" max="27" width="4.42578125" style="32" hidden="1" customWidth="1"/>
    <col min="28" max="28" width="5.140625" style="32" hidden="1" customWidth="1"/>
    <col min="29" max="29" width="4.42578125" style="32" hidden="1" customWidth="1"/>
    <col min="30" max="30" width="8.28515625" style="32" hidden="1" customWidth="1"/>
    <col min="31" max="32" width="5.42578125" style="32" hidden="1" customWidth="1"/>
    <col min="33" max="33" width="18" style="32" hidden="1" customWidth="1"/>
    <col min="34" max="34" width="10" style="32" hidden="1" customWidth="1"/>
    <col min="35" max="35" width="13.85546875" style="32" hidden="1" customWidth="1"/>
    <col min="36" max="36" width="10" style="32" hidden="1" customWidth="1"/>
    <col min="37" max="37" width="13.85546875" style="32" hidden="1" customWidth="1"/>
    <col min="38" max="38" width="10" style="32" hidden="1" customWidth="1"/>
    <col min="39" max="39" width="13.85546875" style="32" hidden="1" customWidth="1"/>
    <col min="40" max="40" width="11.42578125" style="32" hidden="1" customWidth="1"/>
    <col min="41" max="52" width="0" style="32" hidden="1" customWidth="1"/>
    <col min="53" max="16384" width="11.42578125" style="32"/>
  </cols>
  <sheetData>
    <row r="1" spans="11:23" hidden="1" x14ac:dyDescent="0.2"/>
    <row r="2" spans="11:23" hidden="1" x14ac:dyDescent="0.2"/>
    <row r="3" spans="11:23" hidden="1" x14ac:dyDescent="0.2"/>
    <row r="4" spans="11:23" hidden="1" x14ac:dyDescent="0.2"/>
    <row r="5" spans="11:23" hidden="1" x14ac:dyDescent="0.2"/>
    <row r="6" spans="11:23" hidden="1" x14ac:dyDescent="0.2"/>
    <row r="7" spans="11:23" hidden="1" x14ac:dyDescent="0.2"/>
    <row r="8" spans="11:23" hidden="1" x14ac:dyDescent="0.2"/>
    <row r="9" spans="11:23" hidden="1" x14ac:dyDescent="0.2"/>
    <row r="10" spans="11:23" hidden="1" x14ac:dyDescent="0.2"/>
    <row r="11" spans="11:23" hidden="1" x14ac:dyDescent="0.2"/>
    <row r="12" spans="11:23" hidden="1" x14ac:dyDescent="0.2"/>
    <row r="13" spans="11:23" hidden="1" x14ac:dyDescent="0.2"/>
    <row r="14" spans="11:23" ht="0.75" customHeight="1" thickBot="1" x14ac:dyDescent="0.25"/>
    <row r="15" spans="11:23" ht="13.5" thickTop="1" x14ac:dyDescent="0.2">
      <c r="K15" s="42"/>
      <c r="L15" s="43"/>
      <c r="M15" s="43"/>
      <c r="N15" s="43"/>
      <c r="O15" s="43"/>
      <c r="P15" s="43"/>
      <c r="Q15" s="43"/>
      <c r="R15" s="43"/>
      <c r="S15" s="43"/>
      <c r="T15" s="43"/>
      <c r="U15" s="43"/>
      <c r="V15" s="43"/>
      <c r="W15" s="44"/>
    </row>
    <row r="16" spans="11:23" x14ac:dyDescent="0.2">
      <c r="K16" s="45"/>
      <c r="L16" s="46"/>
      <c r="M16" s="46"/>
      <c r="N16" s="46"/>
      <c r="O16" s="46"/>
      <c r="P16" s="46"/>
      <c r="Q16" s="46"/>
      <c r="R16" s="46"/>
      <c r="S16" s="46"/>
      <c r="T16" s="46"/>
      <c r="U16" s="47"/>
      <c r="V16" s="48" t="s">
        <v>49</v>
      </c>
      <c r="W16" s="49"/>
    </row>
    <row r="17" spans="1:39" x14ac:dyDescent="0.2">
      <c r="K17" s="45"/>
      <c r="L17" s="46"/>
      <c r="M17" s="46"/>
      <c r="N17" s="3429" t="s">
        <v>450</v>
      </c>
      <c r="O17" s="3430"/>
      <c r="P17" s="3431"/>
      <c r="Q17" s="3429" t="s">
        <v>451</v>
      </c>
      <c r="R17" s="3430"/>
      <c r="S17" s="3431"/>
      <c r="T17" s="3429" t="s">
        <v>755</v>
      </c>
      <c r="U17" s="3430"/>
      <c r="V17" s="3431"/>
      <c r="W17" s="49"/>
    </row>
    <row r="18" spans="1:39" x14ac:dyDescent="0.2">
      <c r="K18" s="45"/>
      <c r="L18" s="46"/>
      <c r="M18" s="46"/>
      <c r="N18" s="35" t="s">
        <v>249</v>
      </c>
      <c r="O18" s="36" t="s">
        <v>247</v>
      </c>
      <c r="P18" s="36"/>
      <c r="Q18" s="35" t="s">
        <v>249</v>
      </c>
      <c r="R18" s="36" t="s">
        <v>247</v>
      </c>
      <c r="S18" s="37"/>
      <c r="T18" s="35" t="s">
        <v>249</v>
      </c>
      <c r="U18" s="36" t="s">
        <v>247</v>
      </c>
      <c r="V18" s="37"/>
      <c r="W18" s="49"/>
    </row>
    <row r="19" spans="1:39" x14ac:dyDescent="0.2">
      <c r="K19" s="45"/>
      <c r="L19" s="46"/>
      <c r="M19" s="46"/>
      <c r="N19" s="38" t="s">
        <v>248</v>
      </c>
      <c r="O19" s="36" t="s">
        <v>246</v>
      </c>
      <c r="P19" s="36" t="s">
        <v>244</v>
      </c>
      <c r="Q19" s="38" t="s">
        <v>248</v>
      </c>
      <c r="R19" s="36" t="s">
        <v>246</v>
      </c>
      <c r="S19" s="40" t="s">
        <v>244</v>
      </c>
      <c r="T19" s="38" t="s">
        <v>248</v>
      </c>
      <c r="U19" s="36" t="s">
        <v>246</v>
      </c>
      <c r="V19" s="40" t="s">
        <v>244</v>
      </c>
      <c r="W19" s="49"/>
    </row>
    <row r="20" spans="1:39" x14ac:dyDescent="0.2">
      <c r="K20" s="45"/>
      <c r="L20" s="46"/>
      <c r="M20" s="46"/>
      <c r="N20" s="64" t="e">
        <f>IF($M33=0,0,N33*$M33)</f>
        <v>#DIV/0!</v>
      </c>
      <c r="O20" s="65" t="e">
        <f>IF($M33=0,0,O33*$M33)</f>
        <v>#DIV/0!</v>
      </c>
      <c r="P20" s="66">
        <f t="shared" ref="P20:V20" si="0">P33*$M33</f>
        <v>285.60000000000002</v>
      </c>
      <c r="Q20" s="64" t="e">
        <f>IF($M33=0,0,Q33*$M33)</f>
        <v>#DIV/0!</v>
      </c>
      <c r="R20" s="65" t="e">
        <f>IF($M33=0,0,R33*$M33)</f>
        <v>#DIV/0!</v>
      </c>
      <c r="S20" s="67">
        <f t="shared" si="0"/>
        <v>81.600000000000009</v>
      </c>
      <c r="T20" s="64" t="e">
        <f>IF($M33=0,0,T33*$M33)</f>
        <v>#DIV/0!</v>
      </c>
      <c r="U20" s="65" t="e">
        <f>IF($M33=0,0,U33*$M33)</f>
        <v>#DIV/0!</v>
      </c>
      <c r="V20" s="67">
        <f t="shared" si="0"/>
        <v>73.44</v>
      </c>
      <c r="W20" s="49"/>
    </row>
    <row r="21" spans="1:39" ht="13.5" thickBot="1" x14ac:dyDescent="0.25">
      <c r="K21" s="102"/>
      <c r="L21" s="103"/>
      <c r="M21" s="103"/>
      <c r="N21" s="103"/>
      <c r="O21" s="103"/>
      <c r="P21" s="103"/>
      <c r="Q21" s="103"/>
      <c r="R21" s="103"/>
      <c r="S21" s="103"/>
      <c r="T21" s="103"/>
      <c r="U21" s="103"/>
      <c r="V21" s="103"/>
      <c r="W21" s="104"/>
    </row>
    <row r="22" spans="1:39" ht="13.5" thickTop="1" x14ac:dyDescent="0.2"/>
    <row r="23" spans="1:39" x14ac:dyDescent="0.2">
      <c r="S23" s="46"/>
    </row>
    <row r="24" spans="1:39" x14ac:dyDescent="0.2">
      <c r="A24" s="851"/>
      <c r="B24" s="851"/>
      <c r="C24" s="851"/>
      <c r="D24" s="851"/>
      <c r="E24" s="851"/>
      <c r="F24" s="851"/>
      <c r="G24" s="851"/>
      <c r="H24" s="851"/>
      <c r="I24" s="851"/>
      <c r="J24" s="851"/>
      <c r="K24" s="852" t="s">
        <v>340</v>
      </c>
      <c r="L24" s="853">
        <f>VL_Litrage</f>
        <v>6800</v>
      </c>
      <c r="M24" s="854" t="s">
        <v>236</v>
      </c>
      <c r="N24" s="854"/>
    </row>
    <row r="25" spans="1:39" x14ac:dyDescent="0.2">
      <c r="N25" s="537" t="s">
        <v>254</v>
      </c>
      <c r="O25" s="189" t="s">
        <v>186</v>
      </c>
      <c r="P25" s="345">
        <f>IF(L24=0,0,O26*(L24-6000))</f>
        <v>5.6000000000000005</v>
      </c>
      <c r="Q25" s="538"/>
      <c r="R25" s="189" t="s">
        <v>251</v>
      </c>
      <c r="S25" s="185">
        <f>IF(L24=0,0,R26*(L24-6000))</f>
        <v>1.6</v>
      </c>
      <c r="U25" s="189" t="s">
        <v>665</v>
      </c>
      <c r="V25" s="185">
        <f>IF(L24=0,0,U26*(L24-6000))</f>
        <v>1.44</v>
      </c>
    </row>
    <row r="26" spans="1:39" x14ac:dyDescent="0.2">
      <c r="N26" s="537"/>
      <c r="O26" s="190">
        <f>Paramètres!CG15</f>
        <v>7.0000000000000001E-3</v>
      </c>
      <c r="P26" s="185"/>
      <c r="Q26" s="538"/>
      <c r="R26" s="190">
        <f>Paramètres!CI15</f>
        <v>2E-3</v>
      </c>
      <c r="S26" s="185"/>
      <c r="U26" s="190">
        <f>Paramètres!CK15</f>
        <v>1.8E-3</v>
      </c>
      <c r="V26" s="185"/>
      <c r="AH26" s="1924" t="s">
        <v>625</v>
      </c>
      <c r="AI26" s="1924" t="s">
        <v>625</v>
      </c>
      <c r="AJ26" s="1924" t="s">
        <v>187</v>
      </c>
      <c r="AK26" s="1924" t="s">
        <v>187</v>
      </c>
      <c r="AL26" s="1924" t="s">
        <v>665</v>
      </c>
      <c r="AM26" s="1924" t="s">
        <v>665</v>
      </c>
    </row>
    <row r="27" spans="1:39" x14ac:dyDescent="0.2">
      <c r="L27" s="188"/>
      <c r="M27" s="189"/>
      <c r="P27" s="1326"/>
      <c r="S27" s="1326"/>
      <c r="U27" s="189"/>
      <c r="V27" s="33" t="s">
        <v>104</v>
      </c>
      <c r="AH27" s="1924" t="s">
        <v>339</v>
      </c>
      <c r="AI27" s="1924" t="s">
        <v>1700</v>
      </c>
      <c r="AJ27" s="1924" t="s">
        <v>339</v>
      </c>
      <c r="AK27" s="1924" t="s">
        <v>1700</v>
      </c>
      <c r="AL27" s="1924" t="s">
        <v>339</v>
      </c>
      <c r="AM27" s="1924" t="s">
        <v>1700</v>
      </c>
    </row>
    <row r="28" spans="1:39" x14ac:dyDescent="0.2">
      <c r="N28" s="3429" t="s">
        <v>252</v>
      </c>
      <c r="O28" s="3430"/>
      <c r="P28" s="3431"/>
      <c r="Q28" s="3429" t="s">
        <v>253</v>
      </c>
      <c r="R28" s="3430"/>
      <c r="S28" s="3431"/>
      <c r="T28" s="3429" t="s">
        <v>753</v>
      </c>
      <c r="U28" s="3430"/>
      <c r="V28" s="3431"/>
      <c r="AG28" s="1762" t="str">
        <f>Saisies_Exploitation!AJ142</f>
        <v>25% Ensilage Maïs</v>
      </c>
      <c r="AH28" s="1923">
        <f>61-0.068*AVL_PaHerSeu-0.057*AVL_Paturage</f>
        <v>43.370000000000005</v>
      </c>
      <c r="AI28" s="1923">
        <f>0.143*AVL_PaHerSeu+0.17*AVL_Paturage</f>
        <v>46.6</v>
      </c>
      <c r="AJ28" s="1923">
        <f>36.2-0.0535*AVL_PaHerSeu-0.031*AVL_Paturage</f>
        <v>24.96</v>
      </c>
      <c r="AK28" s="1923">
        <f>0.0609*AVL_PaHerSeu+0.0382*AVL_Paturage</f>
        <v>13.347999999999999</v>
      </c>
      <c r="AL28" s="1923">
        <f>68.6-0.08*AVL_PaHerSeu-0.028*AVL_Paturage</f>
        <v>55.279999999999994</v>
      </c>
      <c r="AM28" s="1923">
        <f>0.24*AVL_PaHerSeu+0.22*AVL_Paturage</f>
        <v>65.8</v>
      </c>
    </row>
    <row r="29" spans="1:39" x14ac:dyDescent="0.2">
      <c r="N29" s="35" t="s">
        <v>249</v>
      </c>
      <c r="O29" s="36" t="s">
        <v>247</v>
      </c>
      <c r="P29" s="36"/>
      <c r="Q29" s="35" t="s">
        <v>249</v>
      </c>
      <c r="R29" s="36" t="s">
        <v>247</v>
      </c>
      <c r="S29" s="37"/>
      <c r="T29" s="35" t="s">
        <v>249</v>
      </c>
      <c r="U29" s="36" t="s">
        <v>247</v>
      </c>
      <c r="V29" s="37"/>
      <c r="AG29" s="1762" t="str">
        <f>Saisies_Exploitation!AJ143</f>
        <v>50% Ensilage Maïs</v>
      </c>
      <c r="AH29" s="1923">
        <f>61-0.103*AVL_PaHerSeu-0.022*AVL_Paturage</f>
        <v>46.52</v>
      </c>
      <c r="AI29" s="1923">
        <f>0.21*AVL_PaHerSeu+0.103*AVL_Paturage</f>
        <v>40.57</v>
      </c>
      <c r="AJ29" s="1923">
        <f>36.2-0.0535*AVL_PaHerSeu-0.031*AVL_Paturage</f>
        <v>24.96</v>
      </c>
      <c r="AK29" s="1923">
        <f>0.0609*AVL_PaHerSeu+0.0382*AVL_Paturage</f>
        <v>13.347999999999999</v>
      </c>
      <c r="AL29" s="1923">
        <f>68.6-0.156*AVL_PaHerSeu+0.048*AVL_Paturage</f>
        <v>62.11999999999999</v>
      </c>
      <c r="AM29" s="1923">
        <f>0.332*AVL_PaHerSeu+0.128*AVL_Paturage</f>
        <v>57.52</v>
      </c>
    </row>
    <row r="30" spans="1:39" x14ac:dyDescent="0.2">
      <c r="N30" s="35" t="s">
        <v>248</v>
      </c>
      <c r="O30" s="36" t="s">
        <v>246</v>
      </c>
      <c r="P30" s="36" t="s">
        <v>244</v>
      </c>
      <c r="Q30" s="35" t="s">
        <v>248</v>
      </c>
      <c r="R30" s="36" t="s">
        <v>246</v>
      </c>
      <c r="S30" s="37" t="s">
        <v>244</v>
      </c>
      <c r="T30" s="35" t="s">
        <v>248</v>
      </c>
      <c r="U30" s="36" t="s">
        <v>246</v>
      </c>
      <c r="V30" s="37" t="s">
        <v>244</v>
      </c>
      <c r="AG30" s="1762" t="str">
        <f>Saisies_Exploitation!AJ144</f>
        <v>25% Ensilage Herbe</v>
      </c>
      <c r="AH30" s="1762">
        <f>83-0.083*AVL_PaHerSeu-0.107*AVL_Paturage</f>
        <v>54.370000000000005</v>
      </c>
      <c r="AI30" s="1762">
        <f>0.138*AVL_PaHerSeu+0.175*AVL_Paturage</f>
        <v>47.05</v>
      </c>
      <c r="AJ30" s="1762">
        <f>39-0.031*AVL_PaHerSeu-0.06*AVL_Paturage</f>
        <v>24.5</v>
      </c>
      <c r="AK30" s="1762">
        <f>0.039*AVL_PaHerSeu+0.061*AVL_Paturage</f>
        <v>15.49</v>
      </c>
      <c r="AL30" s="1762">
        <f>112 -0.07*AVL_PaHerSeu-0.157*AVL_Paturage</f>
        <v>75.17</v>
      </c>
      <c r="AM30" s="1762">
        <f>0.21*AVL_PaHerSeu+0.25*AVL_Paturage</f>
        <v>68.5</v>
      </c>
    </row>
    <row r="31" spans="1:39" x14ac:dyDescent="0.2">
      <c r="M31" s="1927" t="s">
        <v>1717</v>
      </c>
      <c r="N31" s="311">
        <f>IF(ISBLANK(AVL_CompPat),0,VLOOKUP(AVL_CompPat,VLPartPaturage!$AG$28:$AM$31,2,FALSE))</f>
        <v>0</v>
      </c>
      <c r="O31" s="312">
        <f>IF(ISBLANK(AVL_CompPat),0,VLOOKUP(AVL_CompPat,VLPartPaturage!$AG$28:$AM$31,3,FALSE))</f>
        <v>0</v>
      </c>
      <c r="P31" s="313">
        <f>O31+N31</f>
        <v>0</v>
      </c>
      <c r="Q31" s="311">
        <f>IF(ISBLANK(AVL_CompPat),0,VLOOKUP(AVL_CompPat,VLPartPaturage!$AG$28:$AM$31,4,FALSE))</f>
        <v>0</v>
      </c>
      <c r="R31" s="312">
        <f>IF(ISBLANK(AVL_CompPat),0,VLOOKUP(AVL_CompPat,VLPartPaturage!$AG$28:$AM$31,5,FALSE))</f>
        <v>0</v>
      </c>
      <c r="S31" s="313">
        <f>R31+Q31</f>
        <v>0</v>
      </c>
      <c r="T31" s="311">
        <f>IF(ISBLANK(AVL_CompPat),0,VLOOKUP(AVL_CompPat,VLPartPaturage!$AG$28:$AM$31,6,FALSE))</f>
        <v>0</v>
      </c>
      <c r="U31" s="312">
        <f>IF(ISBLANK(AVL_CompPat),0,VLOOKUP(AVL_CompPat,VLPartPaturage!$AG$28:$AM$31,7,FALSE))</f>
        <v>0</v>
      </c>
      <c r="V31" s="313">
        <f>U31+T31</f>
        <v>0</v>
      </c>
      <c r="AG31" s="1762" t="str">
        <f>Saisies_Exploitation!AJ145</f>
        <v>50% Ensilage Herbe</v>
      </c>
      <c r="AH31" s="1923">
        <f>83-0.122*AVL_PaHerSeu-0.062*AVL_Paturage</f>
        <v>59.019999999999996</v>
      </c>
      <c r="AI31" s="1762">
        <f>0.193*AVL_PaHerSeu+0.12*AVL_Paturage</f>
        <v>42.1</v>
      </c>
      <c r="AJ31" s="1762">
        <f>39-0.069*AVL_PaHerSeu-0.023*AVL_Paturage</f>
        <v>27.73</v>
      </c>
      <c r="AK31" s="1762">
        <f>0.062*AVL_PaHerSeu+0.038*AVL_Paturage</f>
        <v>13.42</v>
      </c>
      <c r="AL31" s="1762">
        <f>112-0.196*AVL_PaHerSeu-0.031*AVL_Paturage</f>
        <v>86.51</v>
      </c>
      <c r="AM31" s="1762">
        <f>0.312*AVL_PaHerSeu+0.148*AVL_Paturage</f>
        <v>59.319999999999993</v>
      </c>
    </row>
    <row r="32" spans="1:39" x14ac:dyDescent="0.2">
      <c r="M32" s="1927" t="s">
        <v>1716</v>
      </c>
      <c r="N32" s="316" t="e">
        <f>P25*N31/P31</f>
        <v>#DIV/0!</v>
      </c>
      <c r="O32" s="185" t="e">
        <f>P25*O31/P31</f>
        <v>#DIV/0!</v>
      </c>
      <c r="P32" s="419">
        <f>P25</f>
        <v>5.6000000000000005</v>
      </c>
      <c r="Q32" s="316" t="e">
        <f>S25*Q31/S31</f>
        <v>#DIV/0!</v>
      </c>
      <c r="R32" s="185" t="e">
        <f>S25*R31/S31</f>
        <v>#DIV/0!</v>
      </c>
      <c r="S32" s="419">
        <f>S25</f>
        <v>1.6</v>
      </c>
      <c r="T32" s="316" t="e">
        <f>V25*T31/V31</f>
        <v>#DIV/0!</v>
      </c>
      <c r="U32" s="185" t="e">
        <f>V25*U31/V31</f>
        <v>#DIV/0!</v>
      </c>
      <c r="V32" s="419">
        <f>V25</f>
        <v>1.44</v>
      </c>
      <c r="AG32"/>
      <c r="AH32"/>
      <c r="AI32"/>
      <c r="AJ32"/>
      <c r="AK32"/>
      <c r="AL32"/>
      <c r="AM32"/>
    </row>
    <row r="33" spans="10:39" x14ac:dyDescent="0.2">
      <c r="J33" s="851"/>
      <c r="K33" s="851"/>
      <c r="L33" s="852" t="s">
        <v>406</v>
      </c>
      <c r="M33" s="855">
        <f>VL_NbVaches</f>
        <v>51</v>
      </c>
      <c r="N33" s="423" t="e">
        <f t="shared" ref="N33:V33" si="1">N31+N32</f>
        <v>#DIV/0!</v>
      </c>
      <c r="O33" s="405" t="e">
        <f t="shared" si="1"/>
        <v>#DIV/0!</v>
      </c>
      <c r="P33" s="424">
        <f t="shared" si="1"/>
        <v>5.6000000000000005</v>
      </c>
      <c r="Q33" s="423" t="e">
        <f t="shared" si="1"/>
        <v>#DIV/0!</v>
      </c>
      <c r="R33" s="405" t="e">
        <f t="shared" si="1"/>
        <v>#DIV/0!</v>
      </c>
      <c r="S33" s="424">
        <f t="shared" si="1"/>
        <v>1.6</v>
      </c>
      <c r="T33" s="423" t="e">
        <f t="shared" si="1"/>
        <v>#DIV/0!</v>
      </c>
      <c r="U33" s="405" t="e">
        <f t="shared" si="1"/>
        <v>#DIV/0!</v>
      </c>
      <c r="V33" s="424">
        <f t="shared" si="1"/>
        <v>1.44</v>
      </c>
      <c r="AG33"/>
      <c r="AH33"/>
      <c r="AI33"/>
      <c r="AJ33"/>
      <c r="AK33"/>
      <c r="AL33"/>
      <c r="AM33"/>
    </row>
    <row r="34" spans="10:39" x14ac:dyDescent="0.2">
      <c r="S34" s="46"/>
    </row>
    <row r="35" spans="10:39" x14ac:dyDescent="0.2">
      <c r="S35" s="46"/>
    </row>
    <row r="36" spans="10:39" x14ac:dyDescent="0.2">
      <c r="S36" s="46"/>
    </row>
  </sheetData>
  <sheetProtection password="D187" sheet="1" objects="1" scenarios="1"/>
  <mergeCells count="6">
    <mergeCell ref="N17:P17"/>
    <mergeCell ref="Q17:S17"/>
    <mergeCell ref="T17:V17"/>
    <mergeCell ref="N28:P28"/>
    <mergeCell ref="Q28:S28"/>
    <mergeCell ref="T28:V28"/>
  </mergeCells>
  <phoneticPr fontId="0" type="noConversion"/>
  <pageMargins left="0.45" right="0.37" top="0.51" bottom="0.52" header="0.51181102362204722" footer="0.51181102362204722"/>
  <pageSetup paperSize="9" scale="48"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B1:AC137"/>
  <sheetViews>
    <sheetView topLeftCell="A12" workbookViewId="0"/>
  </sheetViews>
  <sheetFormatPr baseColWidth="10" defaultColWidth="11.42578125" defaultRowHeight="12.75" x14ac:dyDescent="0.2"/>
  <cols>
    <col min="1" max="1" width="2.7109375" style="32" customWidth="1"/>
    <col min="2" max="2" width="7.85546875" style="32" customWidth="1"/>
    <col min="3" max="3" width="14.140625" style="32" customWidth="1"/>
    <col min="4" max="4" width="12.5703125" style="32" customWidth="1"/>
    <col min="5" max="5" width="6.140625" style="32" customWidth="1"/>
    <col min="6" max="6" width="10" style="32" customWidth="1"/>
    <col min="7" max="7" width="5" style="32" customWidth="1"/>
    <col min="8" max="8" width="6.140625" style="32" customWidth="1"/>
    <col min="9" max="9" width="10" style="32" customWidth="1"/>
    <col min="10" max="10" width="5" style="32" customWidth="1"/>
    <col min="11" max="11" width="6.140625" style="32" customWidth="1"/>
    <col min="12" max="12" width="10" style="32" customWidth="1"/>
    <col min="13" max="13" width="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6.28515625" style="32" customWidth="1"/>
    <col min="24" max="24" width="7.5703125" style="32" customWidth="1"/>
    <col min="25" max="25" width="5" style="32" customWidth="1"/>
    <col min="26" max="26" width="12.28515625" style="32" customWidth="1"/>
    <col min="27" max="27" width="10.140625" style="32" customWidth="1"/>
    <col min="28" max="28" width="7.5703125" style="32" customWidth="1"/>
    <col min="29" max="16384" width="11.42578125" style="32"/>
  </cols>
  <sheetData>
    <row r="1" spans="5:23" hidden="1" x14ac:dyDescent="0.2"/>
    <row r="2" spans="5:23" hidden="1" x14ac:dyDescent="0.2"/>
    <row r="3" spans="5:23" hidden="1" x14ac:dyDescent="0.2"/>
    <row r="4" spans="5:23" hidden="1" x14ac:dyDescent="0.2"/>
    <row r="5" spans="5:23" hidden="1" x14ac:dyDescent="0.2"/>
    <row r="6" spans="5:23" hidden="1" x14ac:dyDescent="0.2"/>
    <row r="7" spans="5:23" hidden="1" x14ac:dyDescent="0.2"/>
    <row r="8" spans="5:23" hidden="1" x14ac:dyDescent="0.2"/>
    <row r="9" spans="5:23" hidden="1" x14ac:dyDescent="0.2"/>
    <row r="10" spans="5:23" hidden="1" x14ac:dyDescent="0.2"/>
    <row r="11" spans="5:23" hidden="1" x14ac:dyDescent="0.2"/>
    <row r="12" spans="5:23" ht="13.5" thickTop="1" x14ac:dyDescent="0.2">
      <c r="E12" s="42"/>
      <c r="F12" s="43"/>
      <c r="G12" s="43"/>
      <c r="H12" s="43"/>
      <c r="I12" s="43"/>
      <c r="J12" s="43"/>
      <c r="K12" s="43"/>
      <c r="L12" s="43"/>
      <c r="M12" s="43"/>
      <c r="N12" s="43"/>
      <c r="O12" s="43"/>
      <c r="P12" s="43"/>
      <c r="Q12" s="43"/>
      <c r="R12" s="43"/>
      <c r="S12" s="43"/>
      <c r="T12" s="43"/>
      <c r="U12" s="43"/>
      <c r="V12" s="43"/>
      <c r="W12" s="44"/>
    </row>
    <row r="13" spans="5:23" x14ac:dyDescent="0.2">
      <c r="E13" s="45"/>
      <c r="F13" s="46"/>
      <c r="G13" s="46"/>
      <c r="H13" s="46"/>
      <c r="I13" s="46"/>
      <c r="J13" s="46"/>
      <c r="K13" s="46"/>
      <c r="L13" s="46"/>
      <c r="M13" s="46"/>
      <c r="N13" s="46"/>
      <c r="O13" s="46"/>
      <c r="P13" s="46"/>
      <c r="Q13" s="46"/>
      <c r="R13" s="46"/>
      <c r="S13" s="46"/>
      <c r="T13" s="46"/>
      <c r="U13" s="47"/>
      <c r="V13" s="48" t="s">
        <v>47</v>
      </c>
      <c r="W13" s="49"/>
    </row>
    <row r="14" spans="5:23" x14ac:dyDescent="0.2">
      <c r="E14" s="45"/>
      <c r="F14" s="46"/>
      <c r="G14" s="46"/>
      <c r="H14" s="46"/>
      <c r="I14" s="46"/>
      <c r="J14" s="46"/>
      <c r="K14" s="46"/>
      <c r="L14" s="46"/>
      <c r="M14" s="46"/>
      <c r="N14" s="3429" t="s">
        <v>450</v>
      </c>
      <c r="O14" s="3430"/>
      <c r="P14" s="3431"/>
      <c r="Q14" s="3429" t="s">
        <v>451</v>
      </c>
      <c r="R14" s="3430"/>
      <c r="S14" s="3431"/>
      <c r="T14" s="3429" t="s">
        <v>755</v>
      </c>
      <c r="U14" s="3430"/>
      <c r="V14" s="3431"/>
      <c r="W14" s="49"/>
    </row>
    <row r="15" spans="5:23" x14ac:dyDescent="0.2">
      <c r="E15" s="45"/>
      <c r="F15" s="46"/>
      <c r="G15" s="46"/>
      <c r="H15" s="46"/>
      <c r="I15" s="46"/>
      <c r="J15" s="46"/>
      <c r="K15" s="46"/>
      <c r="L15" s="46"/>
      <c r="M15" s="46"/>
      <c r="N15" s="35" t="s">
        <v>249</v>
      </c>
      <c r="O15" s="36" t="s">
        <v>247</v>
      </c>
      <c r="P15" s="36"/>
      <c r="Q15" s="35" t="s">
        <v>249</v>
      </c>
      <c r="R15" s="36" t="s">
        <v>247</v>
      </c>
      <c r="S15" s="37"/>
      <c r="T15" s="35" t="s">
        <v>249</v>
      </c>
      <c r="U15" s="36" t="s">
        <v>247</v>
      </c>
      <c r="V15" s="37"/>
      <c r="W15" s="49"/>
    </row>
    <row r="16" spans="5:23" x14ac:dyDescent="0.2">
      <c r="E16" s="45"/>
      <c r="F16" s="46"/>
      <c r="G16" s="46"/>
      <c r="H16" s="46"/>
      <c r="I16" s="46"/>
      <c r="J16" s="46"/>
      <c r="K16" s="46"/>
      <c r="L16" s="46"/>
      <c r="M16" s="46"/>
      <c r="N16" s="38" t="s">
        <v>248</v>
      </c>
      <c r="O16" s="36" t="s">
        <v>246</v>
      </c>
      <c r="P16" s="36" t="s">
        <v>244</v>
      </c>
      <c r="Q16" s="38" t="s">
        <v>248</v>
      </c>
      <c r="R16" s="36" t="s">
        <v>246</v>
      </c>
      <c r="S16" s="40" t="s">
        <v>244</v>
      </c>
      <c r="T16" s="38" t="s">
        <v>248</v>
      </c>
      <c r="U16" s="36" t="s">
        <v>246</v>
      </c>
      <c r="V16" s="40" t="s">
        <v>244</v>
      </c>
      <c r="W16" s="49"/>
    </row>
    <row r="17" spans="2:23" x14ac:dyDescent="0.2">
      <c r="E17" s="45"/>
      <c r="F17" s="46"/>
      <c r="G17" s="46"/>
      <c r="H17" s="46"/>
      <c r="I17" s="46"/>
      <c r="J17" s="46"/>
      <c r="K17" s="46"/>
      <c r="L17" s="226"/>
      <c r="M17" s="425" t="s">
        <v>172</v>
      </c>
      <c r="N17" s="231">
        <f t="shared" ref="N17:V17" si="0">N135*$K135</f>
        <v>272</v>
      </c>
      <c r="O17" s="229">
        <f t="shared" si="0"/>
        <v>128.00000000000003</v>
      </c>
      <c r="P17" s="230">
        <f t="shared" si="0"/>
        <v>400</v>
      </c>
      <c r="Q17" s="231">
        <f t="shared" si="0"/>
        <v>55.999999999999993</v>
      </c>
      <c r="R17" s="229">
        <f t="shared" si="0"/>
        <v>40.000000000000007</v>
      </c>
      <c r="S17" s="232">
        <f t="shared" si="0"/>
        <v>96</v>
      </c>
      <c r="T17" s="231">
        <f t="shared" si="0"/>
        <v>160</v>
      </c>
      <c r="U17" s="229">
        <f t="shared" si="0"/>
        <v>320</v>
      </c>
      <c r="V17" s="232">
        <f t="shared" si="0"/>
        <v>480</v>
      </c>
      <c r="W17" s="49"/>
    </row>
    <row r="18" spans="2:23" x14ac:dyDescent="0.2">
      <c r="E18" s="45"/>
      <c r="F18" s="46"/>
      <c r="G18" s="46"/>
      <c r="H18" s="46"/>
      <c r="I18" s="46"/>
      <c r="J18" s="46"/>
      <c r="K18" s="46"/>
      <c r="L18" s="233"/>
      <c r="M18" s="426" t="s">
        <v>173</v>
      </c>
      <c r="N18" s="237">
        <f t="shared" ref="N18:V18" si="1">N136*$K136</f>
        <v>245.33333333333337</v>
      </c>
      <c r="O18" s="235">
        <f t="shared" si="1"/>
        <v>560</v>
      </c>
      <c r="P18" s="236">
        <f t="shared" si="1"/>
        <v>805.33333333333337</v>
      </c>
      <c r="Q18" s="237">
        <f t="shared" si="1"/>
        <v>133.33333333333331</v>
      </c>
      <c r="R18" s="235">
        <f t="shared" si="1"/>
        <v>178.66666666666669</v>
      </c>
      <c r="S18" s="238">
        <f t="shared" si="1"/>
        <v>312</v>
      </c>
      <c r="T18" s="237">
        <f t="shared" si="1"/>
        <v>416.00000000000023</v>
      </c>
      <c r="U18" s="235">
        <f t="shared" si="1"/>
        <v>645.33333333333326</v>
      </c>
      <c r="V18" s="238">
        <f t="shared" si="1"/>
        <v>1061.3333333333335</v>
      </c>
      <c r="W18" s="49"/>
    </row>
    <row r="19" spans="2:23" x14ac:dyDescent="0.2">
      <c r="E19" s="45"/>
      <c r="F19" s="46"/>
      <c r="G19" s="46"/>
      <c r="H19" s="46"/>
      <c r="I19" s="46"/>
      <c r="J19" s="46"/>
      <c r="K19" s="46"/>
      <c r="L19" s="239"/>
      <c r="M19" s="427" t="s">
        <v>174</v>
      </c>
      <c r="N19" s="244">
        <f t="shared" ref="N19:V19" si="2">N137*$K137</f>
        <v>165</v>
      </c>
      <c r="O19" s="242">
        <f t="shared" si="2"/>
        <v>270</v>
      </c>
      <c r="P19" s="243">
        <f t="shared" si="2"/>
        <v>435</v>
      </c>
      <c r="Q19" s="244">
        <f t="shared" si="2"/>
        <v>90</v>
      </c>
      <c r="R19" s="242">
        <f t="shared" si="2"/>
        <v>90</v>
      </c>
      <c r="S19" s="245">
        <f t="shared" si="2"/>
        <v>180</v>
      </c>
      <c r="T19" s="244">
        <f t="shared" si="2"/>
        <v>0</v>
      </c>
      <c r="U19" s="242">
        <f t="shared" si="2"/>
        <v>780</v>
      </c>
      <c r="V19" s="245">
        <f t="shared" si="2"/>
        <v>780</v>
      </c>
      <c r="W19" s="49"/>
    </row>
    <row r="20" spans="2:23" x14ac:dyDescent="0.2">
      <c r="E20" s="45"/>
      <c r="F20" s="46"/>
      <c r="G20" s="46"/>
      <c r="H20" s="46"/>
      <c r="I20" s="46"/>
      <c r="J20" s="46"/>
      <c r="K20" s="46"/>
      <c r="L20" s="246"/>
      <c r="M20" s="428" t="s">
        <v>244</v>
      </c>
      <c r="N20" s="64">
        <f t="shared" ref="N20:V20" si="3">SUM(N17:N19)</f>
        <v>682.33333333333337</v>
      </c>
      <c r="O20" s="65">
        <f t="shared" si="3"/>
        <v>958</v>
      </c>
      <c r="P20" s="66">
        <f t="shared" si="3"/>
        <v>1640.3333333333335</v>
      </c>
      <c r="Q20" s="64">
        <f t="shared" si="3"/>
        <v>279.33333333333331</v>
      </c>
      <c r="R20" s="65">
        <f t="shared" si="3"/>
        <v>308.66666666666669</v>
      </c>
      <c r="S20" s="67">
        <f t="shared" si="3"/>
        <v>588</v>
      </c>
      <c r="T20" s="64">
        <f t="shared" si="3"/>
        <v>576.00000000000023</v>
      </c>
      <c r="U20" s="65">
        <f t="shared" si="3"/>
        <v>1745.3333333333333</v>
      </c>
      <c r="V20" s="67">
        <f t="shared" si="3"/>
        <v>2321.3333333333335</v>
      </c>
      <c r="W20" s="49"/>
    </row>
    <row r="21" spans="2:23" ht="13.5" thickBot="1" x14ac:dyDescent="0.25">
      <c r="E21" s="102"/>
      <c r="F21" s="103"/>
      <c r="G21" s="103"/>
      <c r="H21" s="103"/>
      <c r="I21" s="103"/>
      <c r="J21" s="103"/>
      <c r="K21" s="103"/>
      <c r="L21" s="103"/>
      <c r="M21" s="103"/>
      <c r="N21" s="103"/>
      <c r="O21" s="103"/>
      <c r="P21" s="103"/>
      <c r="Q21" s="103"/>
      <c r="R21" s="103"/>
      <c r="S21" s="103"/>
      <c r="T21" s="103"/>
      <c r="U21" s="103"/>
      <c r="V21" s="103"/>
      <c r="W21" s="104"/>
    </row>
    <row r="22" spans="2:23" ht="13.5" thickTop="1" x14ac:dyDescent="0.2"/>
    <row r="23" spans="2:23" x14ac:dyDescent="0.2">
      <c r="B23" s="14" t="s">
        <v>46</v>
      </c>
      <c r="C23" s="14"/>
    </row>
    <row r="24" spans="2:23" ht="3" customHeight="1" thickBot="1" x14ac:dyDescent="0.25"/>
    <row r="25" spans="2:23" ht="13.5" thickTop="1" x14ac:dyDescent="0.2">
      <c r="E25" s="3435" t="s">
        <v>260</v>
      </c>
      <c r="F25" s="3436"/>
      <c r="G25" s="3436"/>
      <c r="H25" s="3436"/>
      <c r="I25" s="3436"/>
      <c r="J25" s="3436"/>
      <c r="K25" s="3436"/>
      <c r="L25" s="3436"/>
      <c r="M25" s="3437"/>
      <c r="N25" s="3435" t="s">
        <v>262</v>
      </c>
      <c r="O25" s="3436"/>
      <c r="P25" s="3436"/>
      <c r="Q25" s="3436"/>
      <c r="R25" s="3436"/>
      <c r="S25" s="3436"/>
      <c r="T25" s="3436"/>
      <c r="U25" s="3436"/>
      <c r="V25" s="3437"/>
    </row>
    <row r="26" spans="2:23" x14ac:dyDescent="0.2">
      <c r="E26" s="3438" t="s">
        <v>261</v>
      </c>
      <c r="F26" s="3439"/>
      <c r="G26" s="3439"/>
      <c r="H26" s="3439"/>
      <c r="I26" s="3439"/>
      <c r="J26" s="3439"/>
      <c r="K26" s="3439"/>
      <c r="L26" s="3439"/>
      <c r="M26" s="3440"/>
      <c r="N26" s="3438" t="s">
        <v>263</v>
      </c>
      <c r="O26" s="3439"/>
      <c r="P26" s="3439"/>
      <c r="Q26" s="3439"/>
      <c r="R26" s="3439"/>
      <c r="S26" s="3439"/>
      <c r="T26" s="3439"/>
      <c r="U26" s="3439"/>
      <c r="V26" s="3440"/>
    </row>
    <row r="27" spans="2:23" x14ac:dyDescent="0.2">
      <c r="E27" s="3441" t="s">
        <v>256</v>
      </c>
      <c r="F27" s="3430"/>
      <c r="G27" s="3431"/>
      <c r="H27" s="3429" t="s">
        <v>257</v>
      </c>
      <c r="I27" s="3430"/>
      <c r="J27" s="3430"/>
      <c r="K27" s="3429" t="s">
        <v>756</v>
      </c>
      <c r="L27" s="3430"/>
      <c r="M27" s="3434"/>
      <c r="N27" s="3441" t="s">
        <v>256</v>
      </c>
      <c r="O27" s="3430"/>
      <c r="P27" s="3431"/>
      <c r="Q27" s="3429" t="s">
        <v>257</v>
      </c>
      <c r="R27" s="3430"/>
      <c r="S27" s="3430"/>
      <c r="T27" s="3429" t="s">
        <v>756</v>
      </c>
      <c r="U27" s="3430"/>
      <c r="V27" s="3434"/>
    </row>
    <row r="28" spans="2:23" x14ac:dyDescent="0.2">
      <c r="C28" s="50" t="s">
        <v>255</v>
      </c>
      <c r="D28" s="212" t="s">
        <v>181</v>
      </c>
      <c r="E28" s="110" t="s">
        <v>249</v>
      </c>
      <c r="F28" s="36" t="s">
        <v>247</v>
      </c>
      <c r="G28" s="36"/>
      <c r="H28" s="35" t="s">
        <v>249</v>
      </c>
      <c r="I28" s="36" t="s">
        <v>247</v>
      </c>
      <c r="J28" s="36"/>
      <c r="K28" s="35" t="s">
        <v>249</v>
      </c>
      <c r="L28" s="36" t="s">
        <v>247</v>
      </c>
      <c r="M28" s="109"/>
      <c r="N28" s="110" t="s">
        <v>249</v>
      </c>
      <c r="O28" s="36" t="s">
        <v>247</v>
      </c>
      <c r="P28" s="36"/>
      <c r="Q28" s="35" t="s">
        <v>249</v>
      </c>
      <c r="R28" s="36" t="s">
        <v>247</v>
      </c>
      <c r="S28" s="36"/>
      <c r="T28" s="35" t="s">
        <v>249</v>
      </c>
      <c r="U28" s="36" t="s">
        <v>247</v>
      </c>
      <c r="V28" s="109"/>
    </row>
    <row r="29" spans="2:23" ht="13.5" thickBot="1" x14ac:dyDescent="0.25">
      <c r="B29" s="176"/>
      <c r="C29" s="51" t="s">
        <v>272</v>
      </c>
      <c r="D29" s="126" t="s">
        <v>259</v>
      </c>
      <c r="E29" s="110" t="s">
        <v>248</v>
      </c>
      <c r="F29" s="36" t="s">
        <v>246</v>
      </c>
      <c r="G29" s="36" t="s">
        <v>244</v>
      </c>
      <c r="H29" s="35" t="s">
        <v>248</v>
      </c>
      <c r="I29" s="36" t="s">
        <v>246</v>
      </c>
      <c r="J29" s="36" t="s">
        <v>244</v>
      </c>
      <c r="K29" s="35" t="s">
        <v>248</v>
      </c>
      <c r="L29" s="36" t="s">
        <v>246</v>
      </c>
      <c r="M29" s="109" t="s">
        <v>244</v>
      </c>
      <c r="N29" s="110" t="s">
        <v>248</v>
      </c>
      <c r="O29" s="36" t="s">
        <v>246</v>
      </c>
      <c r="P29" s="36" t="s">
        <v>244</v>
      </c>
      <c r="Q29" s="35" t="s">
        <v>248</v>
      </c>
      <c r="R29" s="36" t="s">
        <v>246</v>
      </c>
      <c r="S29" s="36" t="s">
        <v>244</v>
      </c>
      <c r="T29" s="35" t="s">
        <v>248</v>
      </c>
      <c r="U29" s="36" t="s">
        <v>246</v>
      </c>
      <c r="V29" s="109" t="s">
        <v>244</v>
      </c>
    </row>
    <row r="30" spans="2:23" ht="13.5" thickTop="1" x14ac:dyDescent="0.2">
      <c r="B30" s="252" t="s">
        <v>264</v>
      </c>
      <c r="C30" s="117" t="s">
        <v>484</v>
      </c>
      <c r="D30" s="430"/>
      <c r="E30" s="431">
        <f t="shared" ref="E30:E42" si="4">G30-F30</f>
        <v>18</v>
      </c>
      <c r="F30" s="875">
        <f>Paramètres!CV8</f>
        <v>0</v>
      </c>
      <c r="G30" s="875">
        <f>Paramètres!CW8</f>
        <v>18</v>
      </c>
      <c r="H30" s="193">
        <f>J30-I30</f>
        <v>8</v>
      </c>
      <c r="I30" s="880">
        <f>Paramètres!CY8</f>
        <v>0</v>
      </c>
      <c r="J30" s="880">
        <f>Paramètres!CZ8</f>
        <v>8</v>
      </c>
      <c r="K30" s="193">
        <f>M30-L30</f>
        <v>32</v>
      </c>
      <c r="L30" s="880">
        <f>Paramètres!DB8</f>
        <v>0</v>
      </c>
      <c r="M30" s="883">
        <f>Paramètres!DC8</f>
        <v>32</v>
      </c>
      <c r="N30" s="431">
        <f>P30-O30</f>
        <v>18</v>
      </c>
      <c r="O30" s="875">
        <f>Paramètres!DE8</f>
        <v>0</v>
      </c>
      <c r="P30" s="875">
        <f>Paramètres!DF8</f>
        <v>18</v>
      </c>
      <c r="Q30" s="193">
        <f>S30-R30</f>
        <v>8</v>
      </c>
      <c r="R30" s="880">
        <f>Paramètres!DH8</f>
        <v>0</v>
      </c>
      <c r="S30" s="880">
        <f>Paramètres!DI8</f>
        <v>8</v>
      </c>
      <c r="T30" s="193">
        <f>V30-U30</f>
        <v>32</v>
      </c>
      <c r="U30" s="880">
        <f>Paramètres!DK8</f>
        <v>0</v>
      </c>
      <c r="V30" s="883">
        <f>Paramètres!DL8</f>
        <v>32</v>
      </c>
    </row>
    <row r="31" spans="2:23" x14ac:dyDescent="0.2">
      <c r="B31" s="257">
        <v>1</v>
      </c>
      <c r="C31" s="127" t="s">
        <v>274</v>
      </c>
      <c r="D31" s="434"/>
      <c r="E31" s="110">
        <f t="shared" si="4"/>
        <v>22</v>
      </c>
      <c r="F31" s="876">
        <f>Paramètres!CV9</f>
        <v>0</v>
      </c>
      <c r="G31" s="876">
        <f>Paramètres!CW9</f>
        <v>22</v>
      </c>
      <c r="H31" s="316">
        <f>J31-I31</f>
        <v>9</v>
      </c>
      <c r="I31" s="866">
        <f>Paramètres!CY9</f>
        <v>0</v>
      </c>
      <c r="J31" s="866">
        <f>Paramètres!CZ9</f>
        <v>9</v>
      </c>
      <c r="K31" s="316">
        <f>M31-L31</f>
        <v>37</v>
      </c>
      <c r="L31" s="866">
        <f>Paramètres!DB9</f>
        <v>0</v>
      </c>
      <c r="M31" s="884">
        <f>Paramètres!DC9</f>
        <v>37</v>
      </c>
      <c r="N31" s="110">
        <f>P31-O31</f>
        <v>22</v>
      </c>
      <c r="O31" s="876">
        <f>Paramètres!DE9</f>
        <v>0</v>
      </c>
      <c r="P31" s="876">
        <f>Paramètres!DF9</f>
        <v>22</v>
      </c>
      <c r="Q31" s="316">
        <f>S31-R31</f>
        <v>9</v>
      </c>
      <c r="R31" s="866">
        <f>Paramètres!DH9</f>
        <v>0</v>
      </c>
      <c r="S31" s="866">
        <f>Paramètres!DI9</f>
        <v>9</v>
      </c>
      <c r="T31" s="316">
        <f>V31-U31</f>
        <v>37</v>
      </c>
      <c r="U31" s="866">
        <f>Paramètres!DK9</f>
        <v>0</v>
      </c>
      <c r="V31" s="884">
        <f>Paramètres!DL9</f>
        <v>37</v>
      </c>
    </row>
    <row r="32" spans="2:23" x14ac:dyDescent="0.2">
      <c r="B32" s="257" t="s">
        <v>278</v>
      </c>
      <c r="C32" s="130">
        <v>4</v>
      </c>
      <c r="D32" s="435"/>
      <c r="E32" s="277">
        <f t="shared" si="4"/>
        <v>17</v>
      </c>
      <c r="F32" s="877">
        <f>Paramètres!CV10</f>
        <v>8</v>
      </c>
      <c r="G32" s="877">
        <f>Paramètres!CW10</f>
        <v>25</v>
      </c>
      <c r="H32" s="279">
        <f t="shared" ref="H32:H42" si="5">J32-I32</f>
        <v>3.5</v>
      </c>
      <c r="I32" s="881">
        <f>Paramètres!CY10</f>
        <v>2.5</v>
      </c>
      <c r="J32" s="881">
        <f>Paramètres!CZ10</f>
        <v>6</v>
      </c>
      <c r="K32" s="279">
        <f t="shared" ref="K32:K49" si="6">M32-L32</f>
        <v>10</v>
      </c>
      <c r="L32" s="881">
        <f>Paramètres!DB10</f>
        <v>20</v>
      </c>
      <c r="M32" s="885">
        <f>Paramètres!DC10</f>
        <v>30</v>
      </c>
      <c r="N32" s="277">
        <f t="shared" ref="N32:N42" si="7">P32-O32</f>
        <v>17</v>
      </c>
      <c r="O32" s="877">
        <f>Paramètres!DE10</f>
        <v>8</v>
      </c>
      <c r="P32" s="877">
        <f>Paramètres!DF10</f>
        <v>25</v>
      </c>
      <c r="Q32" s="279">
        <f t="shared" ref="Q32:Q42" si="8">S32-R32</f>
        <v>3.5</v>
      </c>
      <c r="R32" s="881">
        <f>Paramètres!DH10</f>
        <v>2.5</v>
      </c>
      <c r="S32" s="881">
        <f>Paramètres!DI10</f>
        <v>6</v>
      </c>
      <c r="T32" s="279">
        <f t="shared" ref="T32:T61" si="9">V32-U32</f>
        <v>10</v>
      </c>
      <c r="U32" s="881">
        <f>Paramètres!DK10</f>
        <v>20</v>
      </c>
      <c r="V32" s="885">
        <f>Paramètres!DL10</f>
        <v>30</v>
      </c>
    </row>
    <row r="33" spans="2:22" x14ac:dyDescent="0.2">
      <c r="B33" s="257" t="s">
        <v>279</v>
      </c>
      <c r="C33" s="127">
        <v>5</v>
      </c>
      <c r="D33" s="434"/>
      <c r="E33" s="261">
        <f t="shared" si="4"/>
        <v>17</v>
      </c>
      <c r="F33" s="872">
        <f>Paramètres!CV11</f>
        <v>10</v>
      </c>
      <c r="G33" s="872">
        <f>Paramètres!CW11</f>
        <v>27</v>
      </c>
      <c r="H33" s="204">
        <f t="shared" si="5"/>
        <v>3.5</v>
      </c>
      <c r="I33" s="866">
        <f>Paramètres!CY11</f>
        <v>3</v>
      </c>
      <c r="J33" s="866">
        <f>Paramètres!CZ11</f>
        <v>6.5</v>
      </c>
      <c r="K33" s="204">
        <f t="shared" si="6"/>
        <v>12</v>
      </c>
      <c r="L33" s="866">
        <f>Paramètres!DB11</f>
        <v>26</v>
      </c>
      <c r="M33" s="884">
        <f>Paramètres!DC11</f>
        <v>38</v>
      </c>
      <c r="N33" s="261">
        <f t="shared" si="7"/>
        <v>17</v>
      </c>
      <c r="O33" s="872">
        <f>Paramètres!DE11</f>
        <v>10</v>
      </c>
      <c r="P33" s="872">
        <f>Paramètres!DF11</f>
        <v>27</v>
      </c>
      <c r="Q33" s="204">
        <f t="shared" si="8"/>
        <v>3.5</v>
      </c>
      <c r="R33" s="866">
        <f>Paramètres!DH11</f>
        <v>3</v>
      </c>
      <c r="S33" s="866">
        <f>Paramètres!DI11</f>
        <v>6.5</v>
      </c>
      <c r="T33" s="204">
        <f t="shared" si="9"/>
        <v>12</v>
      </c>
      <c r="U33" s="866">
        <f>Paramètres!DK11</f>
        <v>26</v>
      </c>
      <c r="V33" s="884">
        <f>Paramètres!DL11</f>
        <v>38</v>
      </c>
    </row>
    <row r="34" spans="2:22" x14ac:dyDescent="0.2">
      <c r="B34" s="120"/>
      <c r="C34" s="127">
        <v>6</v>
      </c>
      <c r="D34" s="434"/>
      <c r="E34" s="261">
        <f t="shared" si="4"/>
        <v>15</v>
      </c>
      <c r="F34" s="872">
        <f>Paramètres!CV12</f>
        <v>12</v>
      </c>
      <c r="G34" s="872">
        <f>Paramètres!CW12</f>
        <v>27</v>
      </c>
      <c r="H34" s="204">
        <f t="shared" si="5"/>
        <v>3</v>
      </c>
      <c r="I34" s="866">
        <f>Paramètres!CY12</f>
        <v>3.5</v>
      </c>
      <c r="J34" s="866">
        <f>Paramètres!CZ12</f>
        <v>6.5</v>
      </c>
      <c r="K34" s="204">
        <f t="shared" si="6"/>
        <v>12</v>
      </c>
      <c r="L34" s="866">
        <f>Paramètres!DB12</f>
        <v>26</v>
      </c>
      <c r="M34" s="884">
        <f>Paramètres!DC12</f>
        <v>38</v>
      </c>
      <c r="N34" s="261">
        <f t="shared" si="7"/>
        <v>15</v>
      </c>
      <c r="O34" s="872">
        <f>Paramètres!DE12</f>
        <v>12</v>
      </c>
      <c r="P34" s="872">
        <f>Paramètres!DF12</f>
        <v>27</v>
      </c>
      <c r="Q34" s="204">
        <f t="shared" si="8"/>
        <v>3</v>
      </c>
      <c r="R34" s="866">
        <f>Paramètres!DH12</f>
        <v>3.5</v>
      </c>
      <c r="S34" s="866">
        <f>Paramètres!DI12</f>
        <v>6.5</v>
      </c>
      <c r="T34" s="204">
        <f t="shared" si="9"/>
        <v>12</v>
      </c>
      <c r="U34" s="866">
        <f>Paramètres!DK12</f>
        <v>26</v>
      </c>
      <c r="V34" s="884">
        <f>Paramètres!DL12</f>
        <v>38</v>
      </c>
    </row>
    <row r="35" spans="2:22" ht="13.5" thickBot="1" x14ac:dyDescent="0.25">
      <c r="B35" s="262"/>
      <c r="C35" s="437">
        <v>7</v>
      </c>
      <c r="D35" s="438"/>
      <c r="E35" s="263">
        <f t="shared" si="4"/>
        <v>13</v>
      </c>
      <c r="F35" s="878">
        <f>Paramètres!CV13</f>
        <v>16</v>
      </c>
      <c r="G35" s="878">
        <f>Paramètres!CW13</f>
        <v>29</v>
      </c>
      <c r="H35" s="206">
        <f t="shared" si="5"/>
        <v>2.5</v>
      </c>
      <c r="I35" s="882">
        <f>Paramètres!CY13</f>
        <v>4.5</v>
      </c>
      <c r="J35" s="882">
        <f>Paramètres!CZ13</f>
        <v>7</v>
      </c>
      <c r="K35" s="206">
        <f t="shared" si="6"/>
        <v>9</v>
      </c>
      <c r="L35" s="882">
        <f>Paramètres!DB13</f>
        <v>31</v>
      </c>
      <c r="M35" s="886">
        <f>Paramètres!DC13</f>
        <v>40</v>
      </c>
      <c r="N35" s="263">
        <f t="shared" si="7"/>
        <v>13</v>
      </c>
      <c r="O35" s="878">
        <f>Paramètres!DE13</f>
        <v>16</v>
      </c>
      <c r="P35" s="878">
        <f>Paramètres!DF13</f>
        <v>29</v>
      </c>
      <c r="Q35" s="206">
        <f t="shared" si="8"/>
        <v>2.5</v>
      </c>
      <c r="R35" s="882">
        <f>Paramètres!DH13</f>
        <v>4.5</v>
      </c>
      <c r="S35" s="882">
        <f>Paramètres!DI13</f>
        <v>7</v>
      </c>
      <c r="T35" s="206">
        <f t="shared" si="9"/>
        <v>9</v>
      </c>
      <c r="U35" s="882">
        <f>Paramètres!DK13</f>
        <v>31</v>
      </c>
      <c r="V35" s="886">
        <f>Paramètres!DL13</f>
        <v>40</v>
      </c>
    </row>
    <row r="36" spans="2:22" ht="13.5" thickTop="1" x14ac:dyDescent="0.2">
      <c r="B36" s="252" t="s">
        <v>264</v>
      </c>
      <c r="C36" s="117" t="s">
        <v>273</v>
      </c>
      <c r="D36" s="430"/>
      <c r="E36" s="256">
        <f t="shared" si="4"/>
        <v>32</v>
      </c>
      <c r="F36" s="879">
        <f>Paramètres!CV14</f>
        <v>0</v>
      </c>
      <c r="G36" s="879">
        <f>Paramètres!CW14</f>
        <v>32</v>
      </c>
      <c r="H36" s="210">
        <f t="shared" si="5"/>
        <v>17</v>
      </c>
      <c r="I36" s="880">
        <f>Paramètres!CY14</f>
        <v>0</v>
      </c>
      <c r="J36" s="880">
        <f>Paramètres!CZ14</f>
        <v>17</v>
      </c>
      <c r="K36" s="210">
        <f t="shared" si="6"/>
        <v>54</v>
      </c>
      <c r="L36" s="880">
        <f>Paramètres!DB14</f>
        <v>0</v>
      </c>
      <c r="M36" s="883">
        <f>Paramètres!DC14</f>
        <v>54</v>
      </c>
      <c r="N36" s="256">
        <f t="shared" si="7"/>
        <v>27</v>
      </c>
      <c r="O36" s="879">
        <f>Paramètres!DE14</f>
        <v>0</v>
      </c>
      <c r="P36" s="879">
        <f>Paramètres!DF14</f>
        <v>27</v>
      </c>
      <c r="Q36" s="210">
        <f t="shared" si="8"/>
        <v>14</v>
      </c>
      <c r="R36" s="880">
        <f>Paramètres!DH14</f>
        <v>0</v>
      </c>
      <c r="S36" s="880">
        <f>Paramètres!DI14</f>
        <v>14</v>
      </c>
      <c r="T36" s="210">
        <f t="shared" si="9"/>
        <v>52</v>
      </c>
      <c r="U36" s="880">
        <f>Paramètres!DK14</f>
        <v>0</v>
      </c>
      <c r="V36" s="883">
        <f>Paramètres!DL14</f>
        <v>52</v>
      </c>
    </row>
    <row r="37" spans="2:22" x14ac:dyDescent="0.2">
      <c r="B37" s="257">
        <v>2</v>
      </c>
      <c r="C37" s="127" t="s">
        <v>274</v>
      </c>
      <c r="D37" s="434"/>
      <c r="E37" s="261">
        <f t="shared" si="4"/>
        <v>43</v>
      </c>
      <c r="F37" s="872">
        <f>Paramètres!CV15</f>
        <v>0</v>
      </c>
      <c r="G37" s="872">
        <f>Paramètres!CW15</f>
        <v>43</v>
      </c>
      <c r="H37" s="204">
        <f t="shared" si="5"/>
        <v>17</v>
      </c>
      <c r="I37" s="866">
        <f>Paramètres!CY15</f>
        <v>0</v>
      </c>
      <c r="J37" s="866">
        <f>Paramètres!CZ15</f>
        <v>17</v>
      </c>
      <c r="K37" s="204">
        <f t="shared" si="6"/>
        <v>73</v>
      </c>
      <c r="L37" s="866">
        <f>Paramètres!DB15</f>
        <v>0</v>
      </c>
      <c r="M37" s="884">
        <f>Paramètres!DC15</f>
        <v>73</v>
      </c>
      <c r="N37" s="261">
        <f t="shared" si="7"/>
        <v>36</v>
      </c>
      <c r="O37" s="872">
        <f>Paramètres!DE15</f>
        <v>0</v>
      </c>
      <c r="P37" s="872">
        <f>Paramètres!DF15</f>
        <v>36</v>
      </c>
      <c r="Q37" s="204">
        <f t="shared" si="8"/>
        <v>14</v>
      </c>
      <c r="R37" s="866">
        <f>Paramètres!DH15</f>
        <v>0</v>
      </c>
      <c r="S37" s="866">
        <f>Paramètres!DI15</f>
        <v>14</v>
      </c>
      <c r="T37" s="204">
        <f t="shared" si="9"/>
        <v>55</v>
      </c>
      <c r="U37" s="866">
        <f>Paramètres!DK15</f>
        <v>0</v>
      </c>
      <c r="V37" s="884">
        <f>Paramètres!DL15</f>
        <v>55</v>
      </c>
    </row>
    <row r="38" spans="2:22" x14ac:dyDescent="0.2">
      <c r="B38" s="257" t="s">
        <v>278</v>
      </c>
      <c r="C38" s="127" t="s">
        <v>275</v>
      </c>
      <c r="D38" s="434"/>
      <c r="E38" s="261">
        <f t="shared" si="4"/>
        <v>38</v>
      </c>
      <c r="F38" s="872">
        <f>Paramètres!CV16</f>
        <v>0</v>
      </c>
      <c r="G38" s="872">
        <f>Paramètres!CW16</f>
        <v>38</v>
      </c>
      <c r="H38" s="204">
        <f t="shared" si="5"/>
        <v>18</v>
      </c>
      <c r="I38" s="866">
        <f>Paramètres!CY16</f>
        <v>0</v>
      </c>
      <c r="J38" s="866">
        <f>Paramètres!CZ16</f>
        <v>18</v>
      </c>
      <c r="K38" s="204">
        <f t="shared" si="6"/>
        <v>48</v>
      </c>
      <c r="L38" s="866">
        <f>Paramètres!DB16</f>
        <v>0</v>
      </c>
      <c r="M38" s="884">
        <f>Paramètres!DC16</f>
        <v>48</v>
      </c>
      <c r="N38" s="261">
        <f t="shared" si="7"/>
        <v>32</v>
      </c>
      <c r="O38" s="872">
        <f>Paramètres!DE16</f>
        <v>0</v>
      </c>
      <c r="P38" s="872">
        <f>Paramètres!DF16</f>
        <v>32</v>
      </c>
      <c r="Q38" s="204">
        <f t="shared" si="8"/>
        <v>16</v>
      </c>
      <c r="R38" s="866">
        <f>Paramètres!DH16</f>
        <v>0</v>
      </c>
      <c r="S38" s="866">
        <f>Paramètres!DI16</f>
        <v>16</v>
      </c>
      <c r="T38" s="204">
        <f t="shared" si="9"/>
        <v>45</v>
      </c>
      <c r="U38" s="866">
        <f>Paramètres!DK16</f>
        <v>0</v>
      </c>
      <c r="V38" s="884">
        <f>Paramètres!DL16</f>
        <v>45</v>
      </c>
    </row>
    <row r="39" spans="2:22" x14ac:dyDescent="0.2">
      <c r="B39" s="257" t="s">
        <v>279</v>
      </c>
      <c r="C39" s="130">
        <v>4</v>
      </c>
      <c r="D39" s="133" t="s">
        <v>258</v>
      </c>
      <c r="E39" s="277">
        <f t="shared" si="4"/>
        <v>20</v>
      </c>
      <c r="F39" s="877">
        <f>Paramètres!CV17</f>
        <v>23</v>
      </c>
      <c r="G39" s="877">
        <f>Paramètres!CW17</f>
        <v>43</v>
      </c>
      <c r="H39" s="279">
        <f t="shared" si="5"/>
        <v>11</v>
      </c>
      <c r="I39" s="881">
        <f>Paramètres!CY17</f>
        <v>7.5</v>
      </c>
      <c r="J39" s="881">
        <f>Paramètres!CZ17</f>
        <v>18.5</v>
      </c>
      <c r="K39" s="279">
        <f t="shared" si="6"/>
        <v>34</v>
      </c>
      <c r="L39" s="881">
        <f>Paramètres!DB17</f>
        <v>27</v>
      </c>
      <c r="M39" s="885">
        <f>Paramètres!DC17</f>
        <v>61</v>
      </c>
      <c r="N39" s="277">
        <f t="shared" si="7"/>
        <v>17</v>
      </c>
      <c r="O39" s="877">
        <f>Paramètres!DE17</f>
        <v>20</v>
      </c>
      <c r="P39" s="877">
        <f>Paramètres!DF17</f>
        <v>37</v>
      </c>
      <c r="Q39" s="279">
        <f t="shared" si="8"/>
        <v>9.5</v>
      </c>
      <c r="R39" s="881">
        <f>Paramètres!DH17</f>
        <v>6.5</v>
      </c>
      <c r="S39" s="881">
        <f>Paramètres!DI17</f>
        <v>16</v>
      </c>
      <c r="T39" s="279">
        <f t="shared" si="9"/>
        <v>32</v>
      </c>
      <c r="U39" s="881">
        <f>Paramètres!DK17</f>
        <v>28</v>
      </c>
      <c r="V39" s="885">
        <f>Paramètres!DL17</f>
        <v>60</v>
      </c>
    </row>
    <row r="40" spans="2:22" x14ac:dyDescent="0.2">
      <c r="B40" s="257"/>
      <c r="C40" s="127">
        <v>5</v>
      </c>
      <c r="D40" s="68" t="s">
        <v>258</v>
      </c>
      <c r="E40" s="261">
        <f t="shared" si="4"/>
        <v>17</v>
      </c>
      <c r="F40" s="872">
        <f>Paramètres!CV18</f>
        <v>29</v>
      </c>
      <c r="G40" s="872">
        <f>Paramètres!CW18</f>
        <v>46</v>
      </c>
      <c r="H40" s="204">
        <f t="shared" si="5"/>
        <v>9</v>
      </c>
      <c r="I40" s="866">
        <f>Paramètres!CY18</f>
        <v>10</v>
      </c>
      <c r="J40" s="866">
        <f>Paramètres!CZ18</f>
        <v>19</v>
      </c>
      <c r="K40" s="204">
        <f t="shared" si="6"/>
        <v>30</v>
      </c>
      <c r="L40" s="866">
        <f>Paramètres!DB18</f>
        <v>34</v>
      </c>
      <c r="M40" s="884">
        <f>Paramètres!DC18</f>
        <v>64</v>
      </c>
      <c r="N40" s="261">
        <f t="shared" si="7"/>
        <v>15</v>
      </c>
      <c r="O40" s="872">
        <f>Paramètres!DE18</f>
        <v>25</v>
      </c>
      <c r="P40" s="872">
        <f>Paramètres!DF18</f>
        <v>40</v>
      </c>
      <c r="Q40" s="204">
        <f t="shared" si="8"/>
        <v>9.5</v>
      </c>
      <c r="R40" s="866">
        <f>Paramètres!DH18</f>
        <v>7.5</v>
      </c>
      <c r="S40" s="866">
        <f>Paramètres!DI18</f>
        <v>17</v>
      </c>
      <c r="T40" s="204">
        <f t="shared" si="9"/>
        <v>28</v>
      </c>
      <c r="U40" s="866">
        <f>Paramètres!DK18</f>
        <v>35</v>
      </c>
      <c r="V40" s="884">
        <f>Paramètres!DL18</f>
        <v>63</v>
      </c>
    </row>
    <row r="41" spans="2:22" x14ac:dyDescent="0.2">
      <c r="B41" s="120"/>
      <c r="C41" s="127">
        <v>6</v>
      </c>
      <c r="D41" s="68" t="s">
        <v>258</v>
      </c>
      <c r="E41" s="261">
        <f t="shared" si="4"/>
        <v>15</v>
      </c>
      <c r="F41" s="872">
        <f>Paramètres!CV19</f>
        <v>35</v>
      </c>
      <c r="G41" s="872">
        <f>Paramètres!CW19</f>
        <v>50</v>
      </c>
      <c r="H41" s="204">
        <f t="shared" si="5"/>
        <v>9</v>
      </c>
      <c r="I41" s="866">
        <f>Paramètres!CY19</f>
        <v>11</v>
      </c>
      <c r="J41" s="866">
        <f>Paramètres!CZ19</f>
        <v>20</v>
      </c>
      <c r="K41" s="204">
        <f t="shared" si="6"/>
        <v>26</v>
      </c>
      <c r="L41" s="866">
        <f>Paramètres!DB19</f>
        <v>40</v>
      </c>
      <c r="M41" s="884">
        <f>Paramètres!DC19</f>
        <v>66</v>
      </c>
      <c r="N41" s="261">
        <f t="shared" si="7"/>
        <v>13</v>
      </c>
      <c r="O41" s="872">
        <f>Paramètres!DE19</f>
        <v>30</v>
      </c>
      <c r="P41" s="872">
        <f>Paramètres!DF19</f>
        <v>43</v>
      </c>
      <c r="Q41" s="204">
        <f t="shared" si="8"/>
        <v>6</v>
      </c>
      <c r="R41" s="866">
        <f>Paramètres!DH19</f>
        <v>10</v>
      </c>
      <c r="S41" s="866">
        <f>Paramètres!DI19</f>
        <v>16</v>
      </c>
      <c r="T41" s="204">
        <f t="shared" si="9"/>
        <v>23</v>
      </c>
      <c r="U41" s="866">
        <f>Paramètres!DK19</f>
        <v>43</v>
      </c>
      <c r="V41" s="884">
        <f>Paramètres!DL19</f>
        <v>66</v>
      </c>
    </row>
    <row r="42" spans="2:22" x14ac:dyDescent="0.2">
      <c r="B42" s="120"/>
      <c r="C42" s="127">
        <v>7</v>
      </c>
      <c r="D42" s="68" t="s">
        <v>258</v>
      </c>
      <c r="E42" s="261">
        <f t="shared" si="4"/>
        <v>13</v>
      </c>
      <c r="F42" s="872">
        <f>Paramètres!CV20</f>
        <v>41</v>
      </c>
      <c r="G42" s="872">
        <f>Paramètres!CW20</f>
        <v>54</v>
      </c>
      <c r="H42" s="204">
        <f t="shared" si="5"/>
        <v>7</v>
      </c>
      <c r="I42" s="866">
        <f>Paramètres!CY20</f>
        <v>13</v>
      </c>
      <c r="J42" s="866">
        <f>Paramètres!CZ20</f>
        <v>20</v>
      </c>
      <c r="K42" s="204">
        <f t="shared" si="6"/>
        <v>22</v>
      </c>
      <c r="L42" s="866">
        <f>Paramètres!DB20</f>
        <v>47</v>
      </c>
      <c r="M42" s="884">
        <f>Paramètres!DC20</f>
        <v>69</v>
      </c>
      <c r="N42" s="261">
        <f t="shared" si="7"/>
        <v>12</v>
      </c>
      <c r="O42" s="872">
        <f>Paramètres!DE20</f>
        <v>35</v>
      </c>
      <c r="P42" s="872">
        <f>Paramètres!DF20</f>
        <v>47</v>
      </c>
      <c r="Q42" s="204">
        <f t="shared" si="8"/>
        <v>6</v>
      </c>
      <c r="R42" s="866">
        <f>Paramètres!DH20</f>
        <v>11</v>
      </c>
      <c r="S42" s="866">
        <f>Paramètres!DI20</f>
        <v>17</v>
      </c>
      <c r="T42" s="204">
        <f t="shared" si="9"/>
        <v>20</v>
      </c>
      <c r="U42" s="866">
        <f>Paramètres!DK20</f>
        <v>50</v>
      </c>
      <c r="V42" s="884">
        <f>Paramètres!DL20</f>
        <v>70</v>
      </c>
    </row>
    <row r="43" spans="2:22" x14ac:dyDescent="0.2">
      <c r="B43" s="61"/>
      <c r="C43" s="130">
        <v>4</v>
      </c>
      <c r="D43" s="133" t="s">
        <v>276</v>
      </c>
      <c r="E43" s="277">
        <f t="shared" ref="E43:E50" si="10">G43-F43</f>
        <v>27</v>
      </c>
      <c r="F43" s="877">
        <f>Paramètres!CV21</f>
        <v>23</v>
      </c>
      <c r="G43" s="877">
        <f>Paramètres!CW21</f>
        <v>50</v>
      </c>
      <c r="H43" s="279">
        <f t="shared" ref="H43:H50" si="11">J43-I43</f>
        <v>11</v>
      </c>
      <c r="I43" s="881">
        <f>Paramètres!CY21</f>
        <v>7.5</v>
      </c>
      <c r="J43" s="881">
        <f>Paramètres!CZ21</f>
        <v>18.5</v>
      </c>
      <c r="K43" s="279">
        <f t="shared" si="6"/>
        <v>36</v>
      </c>
      <c r="L43" s="881">
        <f>Paramètres!DB21</f>
        <v>27</v>
      </c>
      <c r="M43" s="885">
        <f>Paramètres!DC21</f>
        <v>63</v>
      </c>
      <c r="N43" s="277">
        <f t="shared" ref="N43:N54" si="12">P43-O43</f>
        <v>22</v>
      </c>
      <c r="O43" s="877">
        <f>Paramètres!DE21</f>
        <v>20</v>
      </c>
      <c r="P43" s="877">
        <f>Paramètres!DF21</f>
        <v>42</v>
      </c>
      <c r="Q43" s="279">
        <f t="shared" ref="Q43:Q54" si="13">S43-R43</f>
        <v>9.5</v>
      </c>
      <c r="R43" s="881">
        <f>Paramètres!DH21</f>
        <v>6.5</v>
      </c>
      <c r="S43" s="881">
        <f>Paramètres!DI21</f>
        <v>16</v>
      </c>
      <c r="T43" s="279">
        <f t="shared" si="9"/>
        <v>33</v>
      </c>
      <c r="U43" s="881">
        <f>Paramètres!DK21</f>
        <v>28</v>
      </c>
      <c r="V43" s="885">
        <f>Paramètres!DL21</f>
        <v>61</v>
      </c>
    </row>
    <row r="44" spans="2:22" x14ac:dyDescent="0.2">
      <c r="B44" s="61"/>
      <c r="C44" s="51">
        <v>5</v>
      </c>
      <c r="D44" s="68" t="s">
        <v>276</v>
      </c>
      <c r="E44" s="261">
        <f t="shared" si="10"/>
        <v>22</v>
      </c>
      <c r="F44" s="872">
        <f>Paramètres!CV22</f>
        <v>29</v>
      </c>
      <c r="G44" s="872">
        <f>Paramètres!CW22</f>
        <v>51</v>
      </c>
      <c r="H44" s="204">
        <f t="shared" si="11"/>
        <v>9</v>
      </c>
      <c r="I44" s="866">
        <f>Paramètres!CY22</f>
        <v>10</v>
      </c>
      <c r="J44" s="866">
        <f>Paramètres!CZ22</f>
        <v>19</v>
      </c>
      <c r="K44" s="204">
        <f t="shared" si="6"/>
        <v>32</v>
      </c>
      <c r="L44" s="866">
        <f>Paramètres!DB22</f>
        <v>34</v>
      </c>
      <c r="M44" s="884">
        <f>Paramètres!DC22</f>
        <v>66</v>
      </c>
      <c r="N44" s="261">
        <f t="shared" si="12"/>
        <v>19</v>
      </c>
      <c r="O44" s="872">
        <f>Paramètres!DE22</f>
        <v>25</v>
      </c>
      <c r="P44" s="872">
        <f>Paramètres!DF22</f>
        <v>44</v>
      </c>
      <c r="Q44" s="204">
        <f t="shared" si="13"/>
        <v>9.5</v>
      </c>
      <c r="R44" s="866">
        <f>Paramètres!DH22</f>
        <v>7.5</v>
      </c>
      <c r="S44" s="866">
        <f>Paramètres!DI22</f>
        <v>17</v>
      </c>
      <c r="T44" s="204">
        <f t="shared" si="9"/>
        <v>29</v>
      </c>
      <c r="U44" s="866">
        <f>Paramètres!DK22</f>
        <v>35</v>
      </c>
      <c r="V44" s="884">
        <f>Paramètres!DL22</f>
        <v>64</v>
      </c>
    </row>
    <row r="45" spans="2:22" x14ac:dyDescent="0.2">
      <c r="B45" s="61"/>
      <c r="C45" s="51">
        <v>6</v>
      </c>
      <c r="D45" s="68" t="s">
        <v>276</v>
      </c>
      <c r="E45" s="261">
        <f t="shared" si="10"/>
        <v>20</v>
      </c>
      <c r="F45" s="872">
        <f>Paramètres!CV23</f>
        <v>35</v>
      </c>
      <c r="G45" s="872">
        <f>Paramètres!CW23</f>
        <v>55</v>
      </c>
      <c r="H45" s="204">
        <f t="shared" si="11"/>
        <v>9</v>
      </c>
      <c r="I45" s="866">
        <f>Paramètres!CY23</f>
        <v>11</v>
      </c>
      <c r="J45" s="866">
        <f>Paramètres!CZ23</f>
        <v>20</v>
      </c>
      <c r="K45" s="204">
        <f t="shared" si="6"/>
        <v>28</v>
      </c>
      <c r="L45" s="866">
        <f>Paramètres!DB23</f>
        <v>40</v>
      </c>
      <c r="M45" s="884">
        <f>Paramètres!DC23</f>
        <v>68</v>
      </c>
      <c r="N45" s="261">
        <f t="shared" si="12"/>
        <v>19</v>
      </c>
      <c r="O45" s="872">
        <f>Paramètres!DE23</f>
        <v>30</v>
      </c>
      <c r="P45" s="872">
        <f>Paramètres!DF23</f>
        <v>49</v>
      </c>
      <c r="Q45" s="204">
        <f t="shared" si="13"/>
        <v>6</v>
      </c>
      <c r="R45" s="866">
        <f>Paramètres!DH23</f>
        <v>10</v>
      </c>
      <c r="S45" s="866">
        <f>Paramètres!DI23</f>
        <v>16</v>
      </c>
      <c r="T45" s="204">
        <f t="shared" si="9"/>
        <v>29</v>
      </c>
      <c r="U45" s="866">
        <f>Paramètres!DK23</f>
        <v>43</v>
      </c>
      <c r="V45" s="884">
        <f>Paramètres!DL23</f>
        <v>72</v>
      </c>
    </row>
    <row r="46" spans="2:22" x14ac:dyDescent="0.2">
      <c r="B46" s="61"/>
      <c r="C46" s="51">
        <v>7</v>
      </c>
      <c r="D46" s="68" t="s">
        <v>276</v>
      </c>
      <c r="E46" s="261">
        <f t="shared" si="10"/>
        <v>17</v>
      </c>
      <c r="F46" s="872">
        <f>Paramètres!CV24</f>
        <v>41</v>
      </c>
      <c r="G46" s="872">
        <f>Paramètres!CW24</f>
        <v>58</v>
      </c>
      <c r="H46" s="204">
        <f t="shared" si="11"/>
        <v>7</v>
      </c>
      <c r="I46" s="866">
        <f>Paramètres!CY24</f>
        <v>13</v>
      </c>
      <c r="J46" s="866">
        <f>Paramètres!CZ24</f>
        <v>20</v>
      </c>
      <c r="K46" s="204">
        <f t="shared" si="6"/>
        <v>23</v>
      </c>
      <c r="L46" s="866">
        <f>Paramètres!DB24</f>
        <v>47</v>
      </c>
      <c r="M46" s="884">
        <f>Paramètres!DC24</f>
        <v>70</v>
      </c>
      <c r="N46" s="261">
        <f t="shared" si="12"/>
        <v>17</v>
      </c>
      <c r="O46" s="872">
        <f>Paramètres!DE24</f>
        <v>35</v>
      </c>
      <c r="P46" s="872">
        <f>Paramètres!DF24</f>
        <v>52</v>
      </c>
      <c r="Q46" s="204">
        <f t="shared" si="13"/>
        <v>6</v>
      </c>
      <c r="R46" s="866">
        <f>Paramètres!DH24</f>
        <v>11</v>
      </c>
      <c r="S46" s="866">
        <f>Paramètres!DI24</f>
        <v>17</v>
      </c>
      <c r="T46" s="204">
        <f t="shared" si="9"/>
        <v>26</v>
      </c>
      <c r="U46" s="866">
        <f>Paramètres!DK24</f>
        <v>50</v>
      </c>
      <c r="V46" s="884">
        <f>Paramètres!DL24</f>
        <v>76</v>
      </c>
    </row>
    <row r="47" spans="2:22" x14ac:dyDescent="0.2">
      <c r="B47" s="61"/>
      <c r="C47" s="130">
        <v>4</v>
      </c>
      <c r="D47" s="133" t="s">
        <v>277</v>
      </c>
      <c r="E47" s="277">
        <f t="shared" si="10"/>
        <v>23</v>
      </c>
      <c r="F47" s="877">
        <f>Paramètres!CV25</f>
        <v>23</v>
      </c>
      <c r="G47" s="877">
        <f>Paramètres!CW25</f>
        <v>46</v>
      </c>
      <c r="H47" s="279">
        <f t="shared" si="11"/>
        <v>11</v>
      </c>
      <c r="I47" s="881">
        <f>Paramètres!CY25</f>
        <v>7.5</v>
      </c>
      <c r="J47" s="881">
        <f>Paramètres!CZ25</f>
        <v>18.5</v>
      </c>
      <c r="K47" s="279">
        <f t="shared" si="6"/>
        <v>29</v>
      </c>
      <c r="L47" s="881">
        <f>Paramètres!DB25</f>
        <v>27</v>
      </c>
      <c r="M47" s="885">
        <f>Paramètres!DC25</f>
        <v>56</v>
      </c>
      <c r="N47" s="277">
        <f t="shared" si="12"/>
        <v>19</v>
      </c>
      <c r="O47" s="877">
        <f>Paramètres!DE25</f>
        <v>20</v>
      </c>
      <c r="P47" s="877">
        <f>Paramètres!DF25</f>
        <v>39</v>
      </c>
      <c r="Q47" s="279">
        <f t="shared" si="13"/>
        <v>9.5</v>
      </c>
      <c r="R47" s="881">
        <f>Paramètres!DH25</f>
        <v>6.5</v>
      </c>
      <c r="S47" s="881">
        <f>Paramètres!DI25</f>
        <v>16</v>
      </c>
      <c r="T47" s="279">
        <f t="shared" si="9"/>
        <v>26</v>
      </c>
      <c r="U47" s="881">
        <f>Paramètres!DK25</f>
        <v>28</v>
      </c>
      <c r="V47" s="885">
        <f>Paramètres!DL25</f>
        <v>54</v>
      </c>
    </row>
    <row r="48" spans="2:22" x14ac:dyDescent="0.2">
      <c r="B48" s="61"/>
      <c r="C48" s="51">
        <v>5</v>
      </c>
      <c r="D48" s="68" t="s">
        <v>277</v>
      </c>
      <c r="E48" s="261">
        <f t="shared" si="10"/>
        <v>20</v>
      </c>
      <c r="F48" s="872">
        <f>Paramètres!CV26</f>
        <v>29</v>
      </c>
      <c r="G48" s="872">
        <f>Paramètres!CW26</f>
        <v>49</v>
      </c>
      <c r="H48" s="204">
        <f t="shared" si="11"/>
        <v>9</v>
      </c>
      <c r="I48" s="866">
        <f>Paramètres!CY26</f>
        <v>10</v>
      </c>
      <c r="J48" s="866">
        <f>Paramètres!CZ26</f>
        <v>19</v>
      </c>
      <c r="K48" s="204">
        <f t="shared" si="6"/>
        <v>24</v>
      </c>
      <c r="L48" s="866">
        <f>Paramètres!DB26</f>
        <v>34</v>
      </c>
      <c r="M48" s="884">
        <f>Paramètres!DC26</f>
        <v>58</v>
      </c>
      <c r="N48" s="261">
        <f t="shared" si="12"/>
        <v>17</v>
      </c>
      <c r="O48" s="872">
        <f>Paramètres!DE26</f>
        <v>25</v>
      </c>
      <c r="P48" s="872">
        <f>Paramètres!DF26</f>
        <v>42</v>
      </c>
      <c r="Q48" s="204">
        <f t="shared" si="13"/>
        <v>9.5</v>
      </c>
      <c r="R48" s="866">
        <f>Paramètres!DH26</f>
        <v>7.5</v>
      </c>
      <c r="S48" s="866">
        <f>Paramètres!DI26</f>
        <v>17</v>
      </c>
      <c r="T48" s="204">
        <f t="shared" si="9"/>
        <v>23</v>
      </c>
      <c r="U48" s="866">
        <f>Paramètres!DK26</f>
        <v>35</v>
      </c>
      <c r="V48" s="884">
        <f>Paramètres!DL26</f>
        <v>58</v>
      </c>
    </row>
    <row r="49" spans="2:22" x14ac:dyDescent="0.2">
      <c r="B49" s="61"/>
      <c r="C49" s="51">
        <v>6</v>
      </c>
      <c r="D49" s="68" t="s">
        <v>277</v>
      </c>
      <c r="E49" s="261">
        <f t="shared" si="10"/>
        <v>17</v>
      </c>
      <c r="F49" s="872">
        <f>Paramètres!CV27</f>
        <v>35</v>
      </c>
      <c r="G49" s="872">
        <f>Paramètres!CW27</f>
        <v>52</v>
      </c>
      <c r="H49" s="204">
        <f t="shared" si="11"/>
        <v>9</v>
      </c>
      <c r="I49" s="866">
        <f>Paramètres!CY27</f>
        <v>11</v>
      </c>
      <c r="J49" s="866">
        <f>Paramètres!CZ27</f>
        <v>20</v>
      </c>
      <c r="K49" s="204">
        <f t="shared" si="6"/>
        <v>23</v>
      </c>
      <c r="L49" s="866">
        <f>Paramètres!DB27</f>
        <v>40</v>
      </c>
      <c r="M49" s="884">
        <f>Paramètres!DC27</f>
        <v>63</v>
      </c>
      <c r="N49" s="261">
        <f t="shared" si="12"/>
        <v>16</v>
      </c>
      <c r="O49" s="872">
        <f>Paramètres!DE27</f>
        <v>30</v>
      </c>
      <c r="P49" s="872">
        <f>Paramètres!DF27</f>
        <v>46</v>
      </c>
      <c r="Q49" s="204">
        <f t="shared" si="13"/>
        <v>6</v>
      </c>
      <c r="R49" s="866">
        <f>Paramètres!DH27</f>
        <v>10</v>
      </c>
      <c r="S49" s="866">
        <f>Paramètres!DI27</f>
        <v>16</v>
      </c>
      <c r="T49" s="204">
        <f t="shared" si="9"/>
        <v>21</v>
      </c>
      <c r="U49" s="866">
        <f>Paramètres!DK27</f>
        <v>43</v>
      </c>
      <c r="V49" s="884">
        <f>Paramètres!DL27</f>
        <v>64</v>
      </c>
    </row>
    <row r="50" spans="2:22" ht="13.5" thickBot="1" x14ac:dyDescent="0.25">
      <c r="B50" s="72"/>
      <c r="C50" s="76">
        <v>7</v>
      </c>
      <c r="D50" s="75" t="s">
        <v>277</v>
      </c>
      <c r="E50" s="263">
        <f t="shared" si="10"/>
        <v>15</v>
      </c>
      <c r="F50" s="878">
        <f>Paramètres!CV28</f>
        <v>41</v>
      </c>
      <c r="G50" s="878">
        <f>Paramètres!CW28</f>
        <v>56</v>
      </c>
      <c r="H50" s="206">
        <f t="shared" si="11"/>
        <v>7</v>
      </c>
      <c r="I50" s="882">
        <f>Paramètres!CY28</f>
        <v>13</v>
      </c>
      <c r="J50" s="882">
        <f>Paramètres!CZ28</f>
        <v>20</v>
      </c>
      <c r="K50" s="206">
        <f>M50-L50</f>
        <v>18</v>
      </c>
      <c r="L50" s="882">
        <f>Paramètres!DB28</f>
        <v>47</v>
      </c>
      <c r="M50" s="886">
        <f>Paramètres!DC28</f>
        <v>65</v>
      </c>
      <c r="N50" s="263">
        <f t="shared" si="12"/>
        <v>14</v>
      </c>
      <c r="O50" s="878">
        <f>Paramètres!DE28</f>
        <v>35</v>
      </c>
      <c r="P50" s="878">
        <f>Paramètres!DF28</f>
        <v>49</v>
      </c>
      <c r="Q50" s="206">
        <f t="shared" si="13"/>
        <v>6</v>
      </c>
      <c r="R50" s="882">
        <f>Paramètres!DH28</f>
        <v>11</v>
      </c>
      <c r="S50" s="882">
        <f>Paramètres!DI28</f>
        <v>17</v>
      </c>
      <c r="T50" s="206">
        <f t="shared" si="9"/>
        <v>19</v>
      </c>
      <c r="U50" s="882">
        <f>Paramètres!DK28</f>
        <v>50</v>
      </c>
      <c r="V50" s="886">
        <f>Paramètres!DL28</f>
        <v>69</v>
      </c>
    </row>
    <row r="51" spans="2:22" ht="13.5" thickTop="1" x14ac:dyDescent="0.2">
      <c r="B51" s="105" t="s">
        <v>264</v>
      </c>
      <c r="C51" s="440">
        <v>4</v>
      </c>
      <c r="D51" s="55" t="s">
        <v>258</v>
      </c>
      <c r="E51" s="283"/>
      <c r="F51" s="441"/>
      <c r="G51" s="441"/>
      <c r="H51" s="286"/>
      <c r="I51" s="287"/>
      <c r="J51" s="287"/>
      <c r="K51" s="286"/>
      <c r="L51" s="287"/>
      <c r="M51" s="442"/>
      <c r="N51" s="253">
        <f t="shared" si="12"/>
        <v>22</v>
      </c>
      <c r="O51" s="879">
        <f>Paramètres!DE29</f>
        <v>26</v>
      </c>
      <c r="P51" s="879">
        <f>Paramètres!DF29</f>
        <v>48</v>
      </c>
      <c r="Q51" s="210">
        <f t="shared" si="13"/>
        <v>15.5</v>
      </c>
      <c r="R51" s="880">
        <f>Paramètres!DH29</f>
        <v>8.5</v>
      </c>
      <c r="S51" s="880">
        <f>Paramètres!DI29</f>
        <v>24</v>
      </c>
      <c r="T51" s="210">
        <f t="shared" si="9"/>
        <v>37</v>
      </c>
      <c r="U51" s="880">
        <f>Paramètres!DK29</f>
        <v>36</v>
      </c>
      <c r="V51" s="883">
        <f>Paramètres!DL29</f>
        <v>73</v>
      </c>
    </row>
    <row r="52" spans="2:22" x14ac:dyDescent="0.2">
      <c r="B52" s="125">
        <v>3</v>
      </c>
      <c r="C52" s="51">
        <v>5</v>
      </c>
      <c r="D52" s="68" t="s">
        <v>258</v>
      </c>
      <c r="E52" s="289"/>
      <c r="F52" s="325"/>
      <c r="G52" s="325"/>
      <c r="H52" s="292"/>
      <c r="I52" s="293"/>
      <c r="J52" s="293"/>
      <c r="K52" s="292"/>
      <c r="L52" s="293"/>
      <c r="M52" s="443"/>
      <c r="N52" s="258">
        <f t="shared" si="12"/>
        <v>16</v>
      </c>
      <c r="O52" s="872">
        <f>Paramètres!DE30</f>
        <v>35</v>
      </c>
      <c r="P52" s="872">
        <f>Paramètres!DF30</f>
        <v>51</v>
      </c>
      <c r="Q52" s="204">
        <f t="shared" si="13"/>
        <v>12.5</v>
      </c>
      <c r="R52" s="866">
        <f>Paramètres!DH30</f>
        <v>11.5</v>
      </c>
      <c r="S52" s="866">
        <f>Paramètres!DI30</f>
        <v>24</v>
      </c>
      <c r="T52" s="204">
        <f t="shared" si="9"/>
        <v>35</v>
      </c>
      <c r="U52" s="866">
        <f>Paramètres!DK30</f>
        <v>45</v>
      </c>
      <c r="V52" s="884">
        <f>Paramètres!DL30</f>
        <v>80</v>
      </c>
    </row>
    <row r="53" spans="2:22" x14ac:dyDescent="0.2">
      <c r="B53" s="257" t="s">
        <v>278</v>
      </c>
      <c r="C53" s="127">
        <v>6</v>
      </c>
      <c r="D53" s="68" t="s">
        <v>258</v>
      </c>
      <c r="E53" s="289"/>
      <c r="F53" s="325"/>
      <c r="G53" s="325"/>
      <c r="H53" s="292"/>
      <c r="I53" s="293"/>
      <c r="J53" s="293"/>
      <c r="K53" s="292"/>
      <c r="L53" s="293"/>
      <c r="M53" s="443"/>
      <c r="N53" s="258">
        <f t="shared" si="12"/>
        <v>14</v>
      </c>
      <c r="O53" s="872">
        <f>Paramètres!DE31</f>
        <v>42</v>
      </c>
      <c r="P53" s="872">
        <f>Paramètres!DF31</f>
        <v>56</v>
      </c>
      <c r="Q53" s="204">
        <f t="shared" si="13"/>
        <v>11</v>
      </c>
      <c r="R53" s="866">
        <f>Paramètres!DH31</f>
        <v>14</v>
      </c>
      <c r="S53" s="866">
        <f>Paramètres!DI31</f>
        <v>25</v>
      </c>
      <c r="T53" s="204">
        <f t="shared" si="9"/>
        <v>32</v>
      </c>
      <c r="U53" s="866">
        <f>Paramètres!DK31</f>
        <v>54</v>
      </c>
      <c r="V53" s="884">
        <f>Paramètres!DL31</f>
        <v>86</v>
      </c>
    </row>
    <row r="54" spans="2:22" x14ac:dyDescent="0.2">
      <c r="B54" s="257" t="s">
        <v>279</v>
      </c>
      <c r="C54" s="127">
        <v>7</v>
      </c>
      <c r="D54" s="68" t="s">
        <v>258</v>
      </c>
      <c r="E54" s="289"/>
      <c r="F54" s="325"/>
      <c r="G54" s="325"/>
      <c r="H54" s="292"/>
      <c r="I54" s="293"/>
      <c r="J54" s="293"/>
      <c r="K54" s="292"/>
      <c r="L54" s="293"/>
      <c r="M54" s="443"/>
      <c r="N54" s="258">
        <f t="shared" si="12"/>
        <v>12</v>
      </c>
      <c r="O54" s="872">
        <f>Paramètres!DE32</f>
        <v>48</v>
      </c>
      <c r="P54" s="872">
        <f>Paramètres!DF32</f>
        <v>60</v>
      </c>
      <c r="Q54" s="204">
        <f t="shared" si="13"/>
        <v>10.5</v>
      </c>
      <c r="R54" s="866">
        <f>Paramètres!DH32</f>
        <v>14.5</v>
      </c>
      <c r="S54" s="866">
        <f>Paramètres!DI32</f>
        <v>25</v>
      </c>
      <c r="T54" s="204">
        <f t="shared" si="9"/>
        <v>30</v>
      </c>
      <c r="U54" s="866">
        <f>Paramètres!DK32</f>
        <v>63</v>
      </c>
      <c r="V54" s="884">
        <f>Paramètres!DL32</f>
        <v>93</v>
      </c>
    </row>
    <row r="55" spans="2:22" x14ac:dyDescent="0.2">
      <c r="B55" s="125"/>
      <c r="C55" s="130">
        <v>4</v>
      </c>
      <c r="D55" s="133" t="s">
        <v>276</v>
      </c>
      <c r="E55" s="327"/>
      <c r="F55" s="444"/>
      <c r="G55" s="444"/>
      <c r="H55" s="445"/>
      <c r="I55" s="329"/>
      <c r="J55" s="329"/>
      <c r="K55" s="445"/>
      <c r="L55" s="329"/>
      <c r="M55" s="446"/>
      <c r="N55" s="278">
        <f t="shared" ref="N55:N62" si="14">P55-O55</f>
        <v>27</v>
      </c>
      <c r="O55" s="877">
        <f>Paramètres!DE33</f>
        <v>26</v>
      </c>
      <c r="P55" s="877">
        <f>Paramètres!DF33</f>
        <v>53</v>
      </c>
      <c r="Q55" s="279">
        <f t="shared" ref="Q55:Q62" si="15">S55-R55</f>
        <v>15.5</v>
      </c>
      <c r="R55" s="881">
        <f>Paramètres!DH33</f>
        <v>8.5</v>
      </c>
      <c r="S55" s="881">
        <f>Paramètres!DI33</f>
        <v>24</v>
      </c>
      <c r="T55" s="279">
        <f t="shared" si="9"/>
        <v>37</v>
      </c>
      <c r="U55" s="881">
        <f>Paramètres!DK33</f>
        <v>36</v>
      </c>
      <c r="V55" s="885">
        <f>Paramètres!DL33</f>
        <v>73</v>
      </c>
    </row>
    <row r="56" spans="2:22" x14ac:dyDescent="0.2">
      <c r="B56" s="125"/>
      <c r="C56" s="51">
        <v>5</v>
      </c>
      <c r="D56" s="68" t="s">
        <v>276</v>
      </c>
      <c r="E56" s="289"/>
      <c r="F56" s="325"/>
      <c r="G56" s="325"/>
      <c r="H56" s="292"/>
      <c r="I56" s="293"/>
      <c r="J56" s="293"/>
      <c r="K56" s="292"/>
      <c r="L56" s="293"/>
      <c r="M56" s="443"/>
      <c r="N56" s="258">
        <f t="shared" si="14"/>
        <v>21</v>
      </c>
      <c r="O56" s="872">
        <f>Paramètres!DE34</f>
        <v>35</v>
      </c>
      <c r="P56" s="872">
        <f>Paramètres!DF34</f>
        <v>56</v>
      </c>
      <c r="Q56" s="204">
        <f t="shared" si="15"/>
        <v>12.5</v>
      </c>
      <c r="R56" s="866">
        <f>Paramètres!DH34</f>
        <v>11.5</v>
      </c>
      <c r="S56" s="866">
        <f>Paramètres!DI34</f>
        <v>24</v>
      </c>
      <c r="T56" s="204">
        <f t="shared" si="9"/>
        <v>35</v>
      </c>
      <c r="U56" s="866">
        <f>Paramètres!DK34</f>
        <v>45</v>
      </c>
      <c r="V56" s="884">
        <f>Paramètres!DL34</f>
        <v>80</v>
      </c>
    </row>
    <row r="57" spans="2:22" x14ac:dyDescent="0.2">
      <c r="B57" s="125"/>
      <c r="C57" s="51">
        <v>6</v>
      </c>
      <c r="D57" s="68" t="s">
        <v>276</v>
      </c>
      <c r="E57" s="289"/>
      <c r="F57" s="325"/>
      <c r="G57" s="325"/>
      <c r="H57" s="292"/>
      <c r="I57" s="293"/>
      <c r="J57" s="293"/>
      <c r="K57" s="292"/>
      <c r="L57" s="293"/>
      <c r="M57" s="443"/>
      <c r="N57" s="258">
        <f t="shared" si="14"/>
        <v>18</v>
      </c>
      <c r="O57" s="872">
        <f>Paramètres!DE35</f>
        <v>42</v>
      </c>
      <c r="P57" s="872">
        <f>Paramètres!DF35</f>
        <v>60</v>
      </c>
      <c r="Q57" s="204">
        <f t="shared" si="15"/>
        <v>11</v>
      </c>
      <c r="R57" s="866">
        <f>Paramètres!DH35</f>
        <v>14</v>
      </c>
      <c r="S57" s="866">
        <f>Paramètres!DI35</f>
        <v>25</v>
      </c>
      <c r="T57" s="204">
        <f t="shared" si="9"/>
        <v>32</v>
      </c>
      <c r="U57" s="866">
        <f>Paramètres!DK35</f>
        <v>54</v>
      </c>
      <c r="V57" s="884">
        <f>Paramètres!DL35</f>
        <v>86</v>
      </c>
    </row>
    <row r="58" spans="2:22" x14ac:dyDescent="0.2">
      <c r="B58" s="125"/>
      <c r="C58" s="51">
        <v>7</v>
      </c>
      <c r="D58" s="68" t="s">
        <v>276</v>
      </c>
      <c r="E58" s="289"/>
      <c r="F58" s="325"/>
      <c r="G58" s="325"/>
      <c r="H58" s="292"/>
      <c r="I58" s="293"/>
      <c r="J58" s="293"/>
      <c r="K58" s="292"/>
      <c r="L58" s="293"/>
      <c r="M58" s="443"/>
      <c r="N58" s="258">
        <f t="shared" si="14"/>
        <v>16</v>
      </c>
      <c r="O58" s="872">
        <f>Paramètres!DE36</f>
        <v>48</v>
      </c>
      <c r="P58" s="872">
        <f>Paramètres!DF36</f>
        <v>64</v>
      </c>
      <c r="Q58" s="204">
        <f t="shared" si="15"/>
        <v>10.5</v>
      </c>
      <c r="R58" s="866">
        <f>Paramètres!DH36</f>
        <v>14.5</v>
      </c>
      <c r="S58" s="866">
        <f>Paramètres!DI36</f>
        <v>25</v>
      </c>
      <c r="T58" s="204">
        <f t="shared" si="9"/>
        <v>30</v>
      </c>
      <c r="U58" s="866">
        <f>Paramètres!DK36</f>
        <v>63</v>
      </c>
      <c r="V58" s="884">
        <f>Paramètres!DL36</f>
        <v>93</v>
      </c>
    </row>
    <row r="59" spans="2:22" x14ac:dyDescent="0.2">
      <c r="B59" s="125"/>
      <c r="C59" s="130">
        <v>4</v>
      </c>
      <c r="D59" s="133" t="s">
        <v>277</v>
      </c>
      <c r="E59" s="327"/>
      <c r="F59" s="444"/>
      <c r="G59" s="444"/>
      <c r="H59" s="445"/>
      <c r="I59" s="329"/>
      <c r="J59" s="329"/>
      <c r="K59" s="445"/>
      <c r="L59" s="329"/>
      <c r="M59" s="446"/>
      <c r="N59" s="278">
        <f t="shared" si="14"/>
        <v>25</v>
      </c>
      <c r="O59" s="877">
        <f>Paramètres!DE37</f>
        <v>26</v>
      </c>
      <c r="P59" s="877">
        <f>Paramètres!DF37</f>
        <v>51</v>
      </c>
      <c r="Q59" s="279">
        <f t="shared" si="15"/>
        <v>15.5</v>
      </c>
      <c r="R59" s="881">
        <f>Paramètres!DH37</f>
        <v>8.5</v>
      </c>
      <c r="S59" s="881">
        <f>Paramètres!DI37</f>
        <v>24</v>
      </c>
      <c r="T59" s="279">
        <f t="shared" si="9"/>
        <v>32</v>
      </c>
      <c r="U59" s="881">
        <f>Paramètres!DK37</f>
        <v>36</v>
      </c>
      <c r="V59" s="885">
        <f>Paramètres!DL37</f>
        <v>68</v>
      </c>
    </row>
    <row r="60" spans="2:22" x14ac:dyDescent="0.2">
      <c r="B60" s="125"/>
      <c r="C60" s="51">
        <v>5</v>
      </c>
      <c r="D60" s="68" t="s">
        <v>277</v>
      </c>
      <c r="E60" s="289"/>
      <c r="F60" s="325"/>
      <c r="G60" s="325"/>
      <c r="H60" s="292"/>
      <c r="I60" s="293"/>
      <c r="J60" s="293"/>
      <c r="K60" s="292"/>
      <c r="L60" s="293"/>
      <c r="M60" s="443"/>
      <c r="N60" s="258">
        <f t="shared" si="14"/>
        <v>19</v>
      </c>
      <c r="O60" s="872">
        <f>Paramètres!DE38</f>
        <v>35</v>
      </c>
      <c r="P60" s="872">
        <f>Paramètres!DF38</f>
        <v>54</v>
      </c>
      <c r="Q60" s="204">
        <f t="shared" si="15"/>
        <v>12.5</v>
      </c>
      <c r="R60" s="866">
        <f>Paramètres!DH38</f>
        <v>11.5</v>
      </c>
      <c r="S60" s="866">
        <f>Paramètres!DI38</f>
        <v>24</v>
      </c>
      <c r="T60" s="204">
        <f t="shared" si="9"/>
        <v>28</v>
      </c>
      <c r="U60" s="866">
        <f>Paramètres!DK38</f>
        <v>45</v>
      </c>
      <c r="V60" s="884">
        <f>Paramètres!DL38</f>
        <v>73</v>
      </c>
    </row>
    <row r="61" spans="2:22" x14ac:dyDescent="0.2">
      <c r="B61" s="125"/>
      <c r="C61" s="51">
        <v>6</v>
      </c>
      <c r="D61" s="68" t="s">
        <v>277</v>
      </c>
      <c r="E61" s="289"/>
      <c r="F61" s="325"/>
      <c r="G61" s="325"/>
      <c r="H61" s="292"/>
      <c r="I61" s="293"/>
      <c r="J61" s="293"/>
      <c r="K61" s="292"/>
      <c r="L61" s="293"/>
      <c r="M61" s="443"/>
      <c r="N61" s="258">
        <f t="shared" si="14"/>
        <v>15</v>
      </c>
      <c r="O61" s="872">
        <f>Paramètres!DE39</f>
        <v>42</v>
      </c>
      <c r="P61" s="872">
        <f>Paramètres!DF39</f>
        <v>57</v>
      </c>
      <c r="Q61" s="204">
        <f t="shared" si="15"/>
        <v>11</v>
      </c>
      <c r="R61" s="866">
        <f>Paramètres!DH39</f>
        <v>14</v>
      </c>
      <c r="S61" s="866">
        <f>Paramètres!DI39</f>
        <v>25</v>
      </c>
      <c r="T61" s="204">
        <f t="shared" si="9"/>
        <v>24</v>
      </c>
      <c r="U61" s="866">
        <f>Paramètres!DK39</f>
        <v>54</v>
      </c>
      <c r="V61" s="884">
        <f>Paramètres!DL39</f>
        <v>78</v>
      </c>
    </row>
    <row r="62" spans="2:22" x14ac:dyDescent="0.2">
      <c r="B62" s="447"/>
      <c r="C62" s="177">
        <v>7</v>
      </c>
      <c r="D62" s="151" t="s">
        <v>277</v>
      </c>
      <c r="E62" s="448"/>
      <c r="F62" s="449"/>
      <c r="G62" s="449"/>
      <c r="H62" s="451"/>
      <c r="I62" s="452"/>
      <c r="J62" s="452"/>
      <c r="K62" s="451"/>
      <c r="L62" s="452"/>
      <c r="M62" s="453"/>
      <c r="N62" s="273">
        <f t="shared" si="14"/>
        <v>13</v>
      </c>
      <c r="O62" s="874">
        <f>Paramètres!DE40</f>
        <v>48</v>
      </c>
      <c r="P62" s="874">
        <f>Paramètres!DF40</f>
        <v>61</v>
      </c>
      <c r="Q62" s="274">
        <f t="shared" si="15"/>
        <v>10.5</v>
      </c>
      <c r="R62" s="868">
        <f>Paramètres!DH40</f>
        <v>14.5</v>
      </c>
      <c r="S62" s="868">
        <f>Paramètres!DI40</f>
        <v>25</v>
      </c>
      <c r="T62" s="274">
        <f>V62-U62</f>
        <v>21</v>
      </c>
      <c r="U62" s="868">
        <f>Paramètres!DK40</f>
        <v>63</v>
      </c>
      <c r="V62" s="887">
        <f>Paramètres!DL40</f>
        <v>84</v>
      </c>
    </row>
    <row r="63" spans="2:22" ht="3" customHeight="1" x14ac:dyDescent="0.2">
      <c r="B63" s="454"/>
      <c r="C63" s="36"/>
      <c r="D63" s="227"/>
      <c r="E63" s="61"/>
      <c r="F63" s="46"/>
      <c r="G63" s="46"/>
      <c r="H63" s="46"/>
      <c r="I63" s="46"/>
      <c r="J63" s="46"/>
      <c r="K63" s="233"/>
      <c r="L63" s="46"/>
      <c r="M63" s="356"/>
      <c r="N63" s="46"/>
      <c r="O63" s="46"/>
      <c r="P63" s="46"/>
      <c r="Q63" s="46"/>
      <c r="R63" s="46"/>
      <c r="S63" s="46"/>
      <c r="T63" s="233"/>
      <c r="U63" s="46"/>
      <c r="V63" s="356"/>
    </row>
    <row r="64" spans="2:22" x14ac:dyDescent="0.2">
      <c r="B64" s="454" t="s">
        <v>264</v>
      </c>
      <c r="C64" s="492" t="s">
        <v>280</v>
      </c>
      <c r="D64" s="493" t="s">
        <v>282</v>
      </c>
      <c r="E64" s="898">
        <f>G64-F64</f>
        <v>3.8</v>
      </c>
      <c r="F64" s="888">
        <f>Paramètres!CV42</f>
        <v>0</v>
      </c>
      <c r="G64" s="889">
        <f>Paramètres!CW42</f>
        <v>3.8</v>
      </c>
      <c r="H64" s="900">
        <f>J64-I64</f>
        <v>2</v>
      </c>
      <c r="I64" s="896">
        <f>Paramètres!CY42</f>
        <v>0</v>
      </c>
      <c r="J64" s="896">
        <f>Paramètres!CZ42</f>
        <v>2</v>
      </c>
      <c r="K64" s="900">
        <f>M64-L64</f>
        <v>5</v>
      </c>
      <c r="L64" s="896">
        <f>Paramètres!DB42</f>
        <v>0</v>
      </c>
      <c r="M64" s="907">
        <f>Paramètres!DC42</f>
        <v>5</v>
      </c>
      <c r="N64" s="455"/>
      <c r="O64" s="455"/>
      <c r="P64" s="455"/>
      <c r="Q64" s="455"/>
      <c r="R64" s="455"/>
      <c r="S64" s="455"/>
      <c r="T64" s="633"/>
      <c r="U64" s="455"/>
      <c r="V64" s="456"/>
    </row>
    <row r="65" spans="2:24" x14ac:dyDescent="0.2">
      <c r="B65" s="125">
        <v>3</v>
      </c>
      <c r="C65" s="500" t="s">
        <v>281</v>
      </c>
      <c r="D65" s="186" t="s">
        <v>283</v>
      </c>
      <c r="E65" s="903">
        <f>G65-F65</f>
        <v>0</v>
      </c>
      <c r="F65" s="890">
        <f>Paramètres!CV43</f>
        <v>6</v>
      </c>
      <c r="G65" s="891">
        <f>Paramètres!CW43</f>
        <v>6</v>
      </c>
      <c r="H65" s="905">
        <f>J65-I65</f>
        <v>0</v>
      </c>
      <c r="I65" s="897">
        <f>Paramètres!CY43</f>
        <v>2</v>
      </c>
      <c r="J65" s="897">
        <f>Paramètres!CZ43</f>
        <v>2</v>
      </c>
      <c r="K65" s="905">
        <f>M65-L65</f>
        <v>0</v>
      </c>
      <c r="L65" s="897">
        <f>Paramètres!DB43</f>
        <v>8.5</v>
      </c>
      <c r="M65" s="908">
        <f>Paramètres!DC43</f>
        <v>8.5</v>
      </c>
      <c r="N65" s="457"/>
      <c r="O65" s="457"/>
      <c r="P65" s="457"/>
      <c r="Q65" s="457"/>
      <c r="R65" s="457"/>
      <c r="S65" s="457"/>
      <c r="T65" s="634"/>
      <c r="U65" s="457"/>
      <c r="V65" s="458"/>
    </row>
    <row r="66" spans="2:24" x14ac:dyDescent="0.2">
      <c r="B66" s="125"/>
      <c r="C66" s="459" t="s">
        <v>280</v>
      </c>
      <c r="D66" s="133" t="s">
        <v>282</v>
      </c>
      <c r="E66" s="132">
        <f>G66-F66</f>
        <v>21.5</v>
      </c>
      <c r="F66" s="892">
        <f>Paramètres!CV44</f>
        <v>0</v>
      </c>
      <c r="G66" s="893">
        <f>Paramètres!CW44</f>
        <v>21.5</v>
      </c>
      <c r="H66" s="279">
        <f>J66-I66</f>
        <v>11</v>
      </c>
      <c r="I66" s="881">
        <f>Paramètres!CY44</f>
        <v>0</v>
      </c>
      <c r="J66" s="881">
        <f>Paramètres!CZ44</f>
        <v>11</v>
      </c>
      <c r="K66" s="279">
        <f>M66-L66</f>
        <v>36</v>
      </c>
      <c r="L66" s="881">
        <f>Paramètres!DB44</f>
        <v>0</v>
      </c>
      <c r="M66" s="885">
        <f>Paramètres!DC44</f>
        <v>36</v>
      </c>
      <c r="N66" s="460"/>
      <c r="O66" s="460"/>
      <c r="P66" s="460"/>
      <c r="Q66" s="460"/>
      <c r="R66" s="460"/>
      <c r="S66" s="460"/>
      <c r="T66" s="635"/>
      <c r="U66" s="460"/>
      <c r="V66" s="461"/>
    </row>
    <row r="67" spans="2:24" ht="13.5" thickBot="1" x14ac:dyDescent="0.25">
      <c r="B67" s="462"/>
      <c r="C67" s="76" t="s">
        <v>284</v>
      </c>
      <c r="D67" s="463" t="s">
        <v>283</v>
      </c>
      <c r="E67" s="462">
        <f>G67-F67</f>
        <v>11</v>
      </c>
      <c r="F67" s="894">
        <f>Paramètres!CV45</f>
        <v>18</v>
      </c>
      <c r="G67" s="895">
        <f>Paramètres!CW45</f>
        <v>29</v>
      </c>
      <c r="H67" s="206">
        <f>J67-I67</f>
        <v>6</v>
      </c>
      <c r="I67" s="882">
        <f>Paramètres!CY45</f>
        <v>6</v>
      </c>
      <c r="J67" s="882">
        <f>Paramètres!CZ45</f>
        <v>12</v>
      </c>
      <c r="K67" s="206">
        <f>M67-L67</f>
        <v>0</v>
      </c>
      <c r="L67" s="882">
        <f>Paramètres!DB45</f>
        <v>52</v>
      </c>
      <c r="M67" s="886">
        <f>Paramètres!DC45</f>
        <v>52</v>
      </c>
      <c r="N67" s="464"/>
      <c r="O67" s="464"/>
      <c r="P67" s="464"/>
      <c r="Q67" s="464"/>
      <c r="R67" s="464"/>
      <c r="S67" s="464"/>
      <c r="T67" s="636"/>
      <c r="U67" s="464"/>
      <c r="V67" s="465"/>
    </row>
    <row r="68" spans="2:24" ht="13.5" thickTop="1" x14ac:dyDescent="0.2">
      <c r="B68" s="68"/>
      <c r="C68" s="68"/>
      <c r="D68" s="36"/>
      <c r="E68" s="68"/>
      <c r="F68" s="68"/>
      <c r="G68" s="68"/>
      <c r="H68" s="128"/>
      <c r="I68" s="128"/>
      <c r="J68" s="128"/>
      <c r="K68" s="128"/>
      <c r="L68" s="128"/>
      <c r="M68" s="128"/>
      <c r="N68" s="184"/>
      <c r="O68" s="184"/>
      <c r="P68" s="184"/>
      <c r="Q68" s="184"/>
      <c r="R68" s="184"/>
      <c r="S68" s="184"/>
      <c r="T68" s="184"/>
      <c r="U68" s="184"/>
      <c r="V68" s="184"/>
    </row>
    <row r="69" spans="2:24" x14ac:dyDescent="0.2">
      <c r="B69" s="68"/>
      <c r="C69" s="68"/>
      <c r="D69" s="36"/>
      <c r="E69" s="68"/>
      <c r="F69" s="68"/>
      <c r="G69" s="68"/>
      <c r="H69" s="128"/>
      <c r="I69" s="128"/>
      <c r="J69" s="128"/>
      <c r="K69" s="128"/>
      <c r="L69" s="128"/>
      <c r="M69" s="128"/>
      <c r="N69" s="184"/>
      <c r="O69" s="184"/>
      <c r="P69" s="184"/>
      <c r="Q69" s="184"/>
      <c r="R69" s="184"/>
      <c r="S69" s="184"/>
      <c r="T69" s="184"/>
      <c r="U69" s="184"/>
      <c r="V69" s="184"/>
    </row>
    <row r="70" spans="2:24" x14ac:dyDescent="0.2">
      <c r="B70" s="68"/>
      <c r="C70" s="68"/>
      <c r="D70" s="36"/>
      <c r="E70" s="68"/>
      <c r="F70" s="68"/>
      <c r="G70" s="68"/>
      <c r="H70" s="128"/>
      <c r="I70" s="128"/>
      <c r="J70" s="128"/>
      <c r="K70" s="128"/>
      <c r="L70" s="128"/>
      <c r="M70" s="128"/>
      <c r="N70" s="184"/>
      <c r="O70" s="184"/>
      <c r="P70" s="184"/>
      <c r="Q70" s="184"/>
      <c r="R70" s="184"/>
      <c r="S70" s="184"/>
      <c r="T70" s="184"/>
      <c r="U70" s="184"/>
      <c r="V70" s="184"/>
    </row>
    <row r="71" spans="2:24" ht="13.5" thickBot="1" x14ac:dyDescent="0.25">
      <c r="B71" s="14" t="s">
        <v>289</v>
      </c>
      <c r="C71" s="68"/>
      <c r="D71" s="36"/>
      <c r="E71" s="68"/>
      <c r="F71" s="68"/>
      <c r="G71" s="68"/>
      <c r="H71" s="128"/>
      <c r="I71" s="128"/>
      <c r="J71" s="128"/>
      <c r="K71" s="128"/>
      <c r="L71" s="128"/>
      <c r="M71" s="128"/>
      <c r="N71" s="184"/>
      <c r="O71" s="184"/>
      <c r="P71" s="184"/>
      <c r="Q71" s="184"/>
      <c r="R71" s="184"/>
      <c r="S71" s="184"/>
      <c r="T71" s="184"/>
      <c r="U71" s="184"/>
      <c r="V71" s="184"/>
    </row>
    <row r="72" spans="2:24" ht="13.5" thickTop="1" x14ac:dyDescent="0.2">
      <c r="E72" s="3435" t="s">
        <v>260</v>
      </c>
      <c r="F72" s="3436"/>
      <c r="G72" s="3436"/>
      <c r="H72" s="3436"/>
      <c r="I72" s="3436"/>
      <c r="J72" s="3436"/>
      <c r="K72" s="3436"/>
      <c r="L72" s="3436"/>
      <c r="M72" s="3437"/>
      <c r="N72" s="3435" t="s">
        <v>262</v>
      </c>
      <c r="O72" s="3436"/>
      <c r="P72" s="3436"/>
      <c r="Q72" s="3436"/>
      <c r="R72" s="3436"/>
      <c r="S72" s="3436"/>
      <c r="T72" s="3436"/>
      <c r="U72" s="3436"/>
      <c r="V72" s="3437"/>
    </row>
    <row r="73" spans="2:24" x14ac:dyDescent="0.2">
      <c r="E73" s="3438" t="s">
        <v>261</v>
      </c>
      <c r="F73" s="3439"/>
      <c r="G73" s="3439"/>
      <c r="H73" s="3439"/>
      <c r="I73" s="3439"/>
      <c r="J73" s="3439"/>
      <c r="K73" s="3439"/>
      <c r="L73" s="3439"/>
      <c r="M73" s="3440"/>
      <c r="N73" s="3438" t="s">
        <v>263</v>
      </c>
      <c r="O73" s="3439"/>
      <c r="P73" s="3439"/>
      <c r="Q73" s="3439"/>
      <c r="R73" s="3439"/>
      <c r="S73" s="3439"/>
      <c r="T73" s="3439"/>
      <c r="U73" s="3439"/>
      <c r="V73" s="3440"/>
    </row>
    <row r="74" spans="2:24" x14ac:dyDescent="0.2">
      <c r="E74" s="3441" t="s">
        <v>256</v>
      </c>
      <c r="F74" s="3430"/>
      <c r="G74" s="3431"/>
      <c r="H74" s="3429" t="s">
        <v>257</v>
      </c>
      <c r="I74" s="3430"/>
      <c r="J74" s="3430"/>
      <c r="K74" s="3429" t="s">
        <v>756</v>
      </c>
      <c r="L74" s="3430"/>
      <c r="M74" s="3434"/>
      <c r="N74" s="3441" t="s">
        <v>256</v>
      </c>
      <c r="O74" s="3430"/>
      <c r="P74" s="3431"/>
      <c r="Q74" s="3429" t="s">
        <v>257</v>
      </c>
      <c r="R74" s="3430"/>
      <c r="S74" s="3430"/>
      <c r="T74" s="3429" t="s">
        <v>756</v>
      </c>
      <c r="U74" s="3430"/>
      <c r="V74" s="3434"/>
    </row>
    <row r="75" spans="2:24" x14ac:dyDescent="0.2">
      <c r="C75" s="50" t="s">
        <v>255</v>
      </c>
      <c r="D75" s="212" t="s">
        <v>181</v>
      </c>
      <c r="E75" s="110" t="s">
        <v>249</v>
      </c>
      <c r="F75" s="36" t="s">
        <v>247</v>
      </c>
      <c r="G75" s="36"/>
      <c r="H75" s="35" t="s">
        <v>249</v>
      </c>
      <c r="I75" s="36" t="s">
        <v>247</v>
      </c>
      <c r="J75" s="36"/>
      <c r="K75" s="35" t="s">
        <v>249</v>
      </c>
      <c r="L75" s="36" t="s">
        <v>247</v>
      </c>
      <c r="M75" s="109"/>
      <c r="N75" s="110" t="s">
        <v>249</v>
      </c>
      <c r="O75" s="36" t="s">
        <v>247</v>
      </c>
      <c r="P75" s="36"/>
      <c r="Q75" s="35" t="s">
        <v>249</v>
      </c>
      <c r="R75" s="36" t="s">
        <v>247</v>
      </c>
      <c r="S75" s="36"/>
      <c r="T75" s="35" t="s">
        <v>249</v>
      </c>
      <c r="U75" s="36" t="s">
        <v>247</v>
      </c>
      <c r="V75" s="109"/>
    </row>
    <row r="76" spans="2:24" ht="13.5" thickBot="1" x14ac:dyDescent="0.25">
      <c r="B76" s="176"/>
      <c r="C76" s="51" t="s">
        <v>272</v>
      </c>
      <c r="D76" s="126" t="s">
        <v>259</v>
      </c>
      <c r="E76" s="110" t="s">
        <v>248</v>
      </c>
      <c r="F76" s="36" t="s">
        <v>246</v>
      </c>
      <c r="G76" s="36" t="s">
        <v>244</v>
      </c>
      <c r="H76" s="35" t="s">
        <v>248</v>
      </c>
      <c r="I76" s="36" t="s">
        <v>246</v>
      </c>
      <c r="J76" s="36" t="s">
        <v>244</v>
      </c>
      <c r="K76" s="35" t="s">
        <v>248</v>
      </c>
      <c r="L76" s="36" t="s">
        <v>246</v>
      </c>
      <c r="M76" s="109" t="s">
        <v>244</v>
      </c>
      <c r="N76" s="110" t="s">
        <v>248</v>
      </c>
      <c r="O76" s="36" t="s">
        <v>246</v>
      </c>
      <c r="P76" s="36" t="s">
        <v>244</v>
      </c>
      <c r="Q76" s="35" t="s">
        <v>248</v>
      </c>
      <c r="R76" s="36" t="s">
        <v>246</v>
      </c>
      <c r="S76" s="36" t="s">
        <v>244</v>
      </c>
      <c r="T76" s="35" t="s">
        <v>248</v>
      </c>
      <c r="U76" s="36" t="s">
        <v>246</v>
      </c>
      <c r="V76" s="109" t="s">
        <v>244</v>
      </c>
    </row>
    <row r="77" spans="2:24" ht="13.5" thickTop="1" x14ac:dyDescent="0.2">
      <c r="B77" s="252" t="s">
        <v>264</v>
      </c>
      <c r="C77" s="117" t="s">
        <v>484</v>
      </c>
      <c r="D77" s="430"/>
      <c r="E77" s="466"/>
      <c r="F77" s="430"/>
      <c r="G77" s="430"/>
      <c r="H77" s="286"/>
      <c r="I77" s="287"/>
      <c r="J77" s="287"/>
      <c r="K77" s="286"/>
      <c r="L77" s="287"/>
      <c r="M77" s="442"/>
      <c r="N77" s="466"/>
      <c r="O77" s="430"/>
      <c r="P77" s="430"/>
      <c r="Q77" s="286"/>
      <c r="R77" s="287"/>
      <c r="S77" s="287"/>
      <c r="T77" s="286"/>
      <c r="U77" s="287"/>
      <c r="V77" s="442"/>
    </row>
    <row r="78" spans="2:24" x14ac:dyDescent="0.2">
      <c r="B78" s="257">
        <v>1</v>
      </c>
      <c r="C78" s="127" t="s">
        <v>274</v>
      </c>
      <c r="D78" s="434"/>
      <c r="E78" s="467"/>
      <c r="F78" s="434"/>
      <c r="G78" s="434"/>
      <c r="H78" s="292"/>
      <c r="I78" s="293"/>
      <c r="J78" s="293"/>
      <c r="K78" s="292"/>
      <c r="L78" s="293"/>
      <c r="M78" s="443"/>
      <c r="N78" s="467"/>
      <c r="O78" s="434"/>
      <c r="P78" s="434"/>
      <c r="Q78" s="292"/>
      <c r="R78" s="293"/>
      <c r="S78" s="293"/>
      <c r="T78" s="292"/>
      <c r="U78" s="293"/>
      <c r="V78" s="443"/>
    </row>
    <row r="79" spans="2:24" x14ac:dyDescent="0.2">
      <c r="B79" s="257" t="s">
        <v>288</v>
      </c>
      <c r="C79" s="468"/>
      <c r="D79" s="435"/>
      <c r="E79" s="327"/>
      <c r="F79" s="328">
        <f>(F35-F32)/($C35-$C32)</f>
        <v>2.6666666666666665</v>
      </c>
      <c r="G79" s="328">
        <f>(G35-G32)/($C35-$C32)</f>
        <v>1.3333333333333333</v>
      </c>
      <c r="H79" s="469"/>
      <c r="I79" s="328">
        <f>(I35-I32)/($C35-$C32)</f>
        <v>0.66666666666666663</v>
      </c>
      <c r="J79" s="328">
        <f>(J35-J32)/($C35-$C32)</f>
        <v>0.33333333333333331</v>
      </c>
      <c r="K79" s="469"/>
      <c r="L79" s="328">
        <f>(L35-L32)/($C35-$C32)</f>
        <v>3.6666666666666665</v>
      </c>
      <c r="M79" s="330">
        <f>(M35-M32)/($C35-$C32)</f>
        <v>3.3333333333333335</v>
      </c>
      <c r="N79" s="470"/>
      <c r="O79" s="328">
        <f>(O35-O32)/($C35-$C32)</f>
        <v>2.6666666666666665</v>
      </c>
      <c r="P79" s="328">
        <f>(P35-P32)/($C35-$C32)</f>
        <v>1.3333333333333333</v>
      </c>
      <c r="Q79" s="469"/>
      <c r="R79" s="328">
        <f>(R35-R32)/($C35-$C32)</f>
        <v>0.66666666666666663</v>
      </c>
      <c r="S79" s="328">
        <f>(S35-S32)/($C35-$C32)</f>
        <v>0.33333333333333331</v>
      </c>
      <c r="T79" s="469"/>
      <c r="U79" s="328">
        <f>(U35-U32)/($C35-$C32)</f>
        <v>3.6666666666666665</v>
      </c>
      <c r="V79" s="330">
        <f>(V35-V32)/($C35-$C32)</f>
        <v>3.3333333333333335</v>
      </c>
      <c r="W79" s="295" t="s">
        <v>290</v>
      </c>
    </row>
    <row r="80" spans="2:24" ht="13.5" thickBot="1" x14ac:dyDescent="0.25">
      <c r="B80" s="257"/>
      <c r="C80" s="471"/>
      <c r="D80" s="434"/>
      <c r="E80" s="289"/>
      <c r="F80" s="296">
        <f>F35-F79*$C35</f>
        <v>-2.6666666666666643</v>
      </c>
      <c r="G80" s="296">
        <f>G35-G79*$C35</f>
        <v>19.666666666666668</v>
      </c>
      <c r="H80" s="292"/>
      <c r="I80" s="297">
        <f>I35-I79*$C35</f>
        <v>-0.16666666666666607</v>
      </c>
      <c r="J80" s="297">
        <f>J35-J79*$C35</f>
        <v>4.666666666666667</v>
      </c>
      <c r="K80" s="292"/>
      <c r="L80" s="297">
        <f>L35-L79*$C35</f>
        <v>5.3333333333333357</v>
      </c>
      <c r="M80" s="299">
        <f>M35-M79*$C35</f>
        <v>16.666666666666664</v>
      </c>
      <c r="N80" s="289"/>
      <c r="O80" s="296">
        <f>O35-O79*$C35</f>
        <v>-2.6666666666666643</v>
      </c>
      <c r="P80" s="296">
        <f>P35-P79*$C35</f>
        <v>19.666666666666668</v>
      </c>
      <c r="Q80" s="292"/>
      <c r="R80" s="297">
        <f>R35-R79*$C35</f>
        <v>-0.16666666666666607</v>
      </c>
      <c r="S80" s="297">
        <f>S35-S79*$C35</f>
        <v>4.666666666666667</v>
      </c>
      <c r="T80" s="292"/>
      <c r="U80" s="297">
        <f>U35-U79*$C35</f>
        <v>5.3333333333333357</v>
      </c>
      <c r="V80" s="299">
        <f>V35-V79*$C35</f>
        <v>16.666666666666664</v>
      </c>
      <c r="W80" s="295" t="s">
        <v>291</v>
      </c>
      <c r="X80" s="295"/>
    </row>
    <row r="81" spans="2:24" ht="13.5" thickTop="1" x14ac:dyDescent="0.2">
      <c r="B81" s="252" t="s">
        <v>264</v>
      </c>
      <c r="C81" s="117" t="s">
        <v>273</v>
      </c>
      <c r="D81" s="430"/>
      <c r="E81" s="283"/>
      <c r="F81" s="441"/>
      <c r="G81" s="441"/>
      <c r="H81" s="286"/>
      <c r="I81" s="287"/>
      <c r="J81" s="287"/>
      <c r="K81" s="286"/>
      <c r="L81" s="287"/>
      <c r="M81" s="442"/>
      <c r="N81" s="283"/>
      <c r="O81" s="441"/>
      <c r="P81" s="441"/>
      <c r="Q81" s="286"/>
      <c r="R81" s="287"/>
      <c r="S81" s="287"/>
      <c r="T81" s="286"/>
      <c r="U81" s="287"/>
      <c r="V81" s="442"/>
    </row>
    <row r="82" spans="2:24" x14ac:dyDescent="0.2">
      <c r="B82" s="257">
        <v>2</v>
      </c>
      <c r="C82" s="127" t="s">
        <v>274</v>
      </c>
      <c r="D82" s="434"/>
      <c r="E82" s="289"/>
      <c r="F82" s="325"/>
      <c r="G82" s="325"/>
      <c r="H82" s="292"/>
      <c r="I82" s="293"/>
      <c r="J82" s="293"/>
      <c r="K82" s="292"/>
      <c r="L82" s="293"/>
      <c r="M82" s="443"/>
      <c r="N82" s="289"/>
      <c r="O82" s="325"/>
      <c r="P82" s="325"/>
      <c r="Q82" s="292"/>
      <c r="R82" s="293"/>
      <c r="S82" s="293"/>
      <c r="T82" s="292"/>
      <c r="U82" s="293"/>
      <c r="V82" s="443"/>
    </row>
    <row r="83" spans="2:24" x14ac:dyDescent="0.2">
      <c r="B83" s="257" t="s">
        <v>278</v>
      </c>
      <c r="C83" s="127" t="s">
        <v>275</v>
      </c>
      <c r="D83" s="434"/>
      <c r="E83" s="289"/>
      <c r="F83" s="325"/>
      <c r="G83" s="325"/>
      <c r="H83" s="292"/>
      <c r="I83" s="293"/>
      <c r="J83" s="293"/>
      <c r="K83" s="292"/>
      <c r="L83" s="293"/>
      <c r="M83" s="443"/>
      <c r="N83" s="289"/>
      <c r="O83" s="325"/>
      <c r="P83" s="325"/>
      <c r="Q83" s="292"/>
      <c r="R83" s="293"/>
      <c r="S83" s="293"/>
      <c r="T83" s="292"/>
      <c r="U83" s="293"/>
      <c r="V83" s="443"/>
    </row>
    <row r="84" spans="2:24" x14ac:dyDescent="0.2">
      <c r="B84" s="257" t="s">
        <v>279</v>
      </c>
      <c r="C84" s="468"/>
      <c r="D84" s="472" t="s">
        <v>258</v>
      </c>
      <c r="E84" s="327"/>
      <c r="F84" s="328">
        <f>(F42-F39)/($C42-$C39)</f>
        <v>6</v>
      </c>
      <c r="G84" s="328">
        <f>(G42-G39)/($C42-$C39)</f>
        <v>3.6666666666666665</v>
      </c>
      <c r="H84" s="469"/>
      <c r="I84" s="328">
        <f>(I42-I39)/($C42-$C39)</f>
        <v>1.8333333333333333</v>
      </c>
      <c r="J84" s="328">
        <f>(J42-J39)/($C42-$C39)</f>
        <v>0.5</v>
      </c>
      <c r="K84" s="469"/>
      <c r="L84" s="328">
        <f>(L42-L39)/($C42-$C39)</f>
        <v>6.666666666666667</v>
      </c>
      <c r="M84" s="330">
        <f>(M42-M39)/($C42-$C39)</f>
        <v>2.6666666666666665</v>
      </c>
      <c r="N84" s="470"/>
      <c r="O84" s="328">
        <f>(O42-O39)/($C42-$C39)</f>
        <v>5</v>
      </c>
      <c r="P84" s="328">
        <f>(P42-P39)/($C42-$C39)</f>
        <v>3.3333333333333335</v>
      </c>
      <c r="Q84" s="469"/>
      <c r="R84" s="328">
        <f>(R42-R39)/($C42-$C39)</f>
        <v>1.5</v>
      </c>
      <c r="S84" s="328">
        <f>(S42-S39)/($C42-$C39)</f>
        <v>0.33333333333333331</v>
      </c>
      <c r="T84" s="469"/>
      <c r="U84" s="328">
        <f>(U42-U39)/($C42-$C39)</f>
        <v>7.333333333333333</v>
      </c>
      <c r="V84" s="330">
        <f>(V42-V39)/($C42-$C39)</f>
        <v>3.3333333333333335</v>
      </c>
      <c r="W84" s="295" t="s">
        <v>290</v>
      </c>
    </row>
    <row r="85" spans="2:24" x14ac:dyDescent="0.2">
      <c r="B85" s="125"/>
      <c r="C85" s="473"/>
      <c r="D85" s="474"/>
      <c r="E85" s="475"/>
      <c r="F85" s="476">
        <f>F42-F84*$C42</f>
        <v>-1</v>
      </c>
      <c r="G85" s="476">
        <f>G42-G84*$C42</f>
        <v>28.333333333333336</v>
      </c>
      <c r="H85" s="477"/>
      <c r="I85" s="478">
        <f>I42-I84*$C42</f>
        <v>0.16666666666666785</v>
      </c>
      <c r="J85" s="478">
        <f>J42-J84*$C42</f>
        <v>16.5</v>
      </c>
      <c r="K85" s="477"/>
      <c r="L85" s="478">
        <f>L42-L84*$C42</f>
        <v>0.3333333333333286</v>
      </c>
      <c r="M85" s="479">
        <f>M42-M84*$C42</f>
        <v>50.333333333333336</v>
      </c>
      <c r="N85" s="475"/>
      <c r="O85" s="476">
        <f>O42-O84*$C42</f>
        <v>0</v>
      </c>
      <c r="P85" s="476">
        <f>P42-P84*$C42</f>
        <v>23.666666666666664</v>
      </c>
      <c r="Q85" s="477"/>
      <c r="R85" s="478">
        <f>R42-R84*$C42</f>
        <v>0.5</v>
      </c>
      <c r="S85" s="478">
        <f>S42-S84*$C42</f>
        <v>14.666666666666668</v>
      </c>
      <c r="T85" s="477"/>
      <c r="U85" s="478">
        <f>U42-U84*$C42</f>
        <v>-1.3333333333333286</v>
      </c>
      <c r="V85" s="479">
        <f>V42-V84*$C42</f>
        <v>46.666666666666664</v>
      </c>
      <c r="W85" s="295" t="s">
        <v>291</v>
      </c>
      <c r="X85" s="295"/>
    </row>
    <row r="86" spans="2:24" x14ac:dyDescent="0.2">
      <c r="B86" s="61"/>
      <c r="C86" s="468"/>
      <c r="D86" s="472" t="s">
        <v>276</v>
      </c>
      <c r="E86" s="327"/>
      <c r="F86" s="328">
        <f>(F46-F43)/($C46-$C43)</f>
        <v>6</v>
      </c>
      <c r="G86" s="328">
        <f>(G46-G43)/($C46-$C43)</f>
        <v>2.6666666666666665</v>
      </c>
      <c r="H86" s="469"/>
      <c r="I86" s="328">
        <f>(I46-I43)/($C46-$C43)</f>
        <v>1.8333333333333333</v>
      </c>
      <c r="J86" s="328">
        <f>(J46-J43)/($C46-$C43)</f>
        <v>0.5</v>
      </c>
      <c r="K86" s="469"/>
      <c r="L86" s="328">
        <f>(L46-L43)/($C46-$C43)</f>
        <v>6.666666666666667</v>
      </c>
      <c r="M86" s="330">
        <f>(M46-M43)/($C46-$C43)</f>
        <v>2.3333333333333335</v>
      </c>
      <c r="N86" s="470"/>
      <c r="O86" s="328">
        <f>(O46-O43)/($C46-$C43)</f>
        <v>5</v>
      </c>
      <c r="P86" s="328">
        <f>(P46-P43)/($C46-$C43)</f>
        <v>3.3333333333333335</v>
      </c>
      <c r="Q86" s="469"/>
      <c r="R86" s="328">
        <f>(R46-R43)/($C46-$C43)</f>
        <v>1.5</v>
      </c>
      <c r="S86" s="328">
        <f>(S46-S43)/($C46-$C43)</f>
        <v>0.33333333333333331</v>
      </c>
      <c r="T86" s="469"/>
      <c r="U86" s="328">
        <f>(U46-U43)/($C46-$C43)</f>
        <v>7.333333333333333</v>
      </c>
      <c r="V86" s="330">
        <f>(V46-V43)/($C46-$C43)</f>
        <v>5</v>
      </c>
      <c r="W86" s="295" t="s">
        <v>290</v>
      </c>
    </row>
    <row r="87" spans="2:24" x14ac:dyDescent="0.2">
      <c r="B87" s="61"/>
      <c r="C87" s="473"/>
      <c r="D87" s="474"/>
      <c r="E87" s="475"/>
      <c r="F87" s="476">
        <f>F46-F86*$C46</f>
        <v>-1</v>
      </c>
      <c r="G87" s="476">
        <f>G46-G86*$C46</f>
        <v>39.333333333333336</v>
      </c>
      <c r="H87" s="477"/>
      <c r="I87" s="478">
        <f>I46-I86*$C46</f>
        <v>0.16666666666666785</v>
      </c>
      <c r="J87" s="478">
        <f>J46-J86*$C46</f>
        <v>16.5</v>
      </c>
      <c r="K87" s="477"/>
      <c r="L87" s="478">
        <f>L46-L86*$C46</f>
        <v>0.3333333333333286</v>
      </c>
      <c r="M87" s="479">
        <f>M46-M86*$C46</f>
        <v>53.666666666666664</v>
      </c>
      <c r="N87" s="475"/>
      <c r="O87" s="476">
        <f>O46-O86*$C46</f>
        <v>0</v>
      </c>
      <c r="P87" s="476">
        <f>P46-P86*$C46</f>
        <v>28.666666666666664</v>
      </c>
      <c r="Q87" s="477"/>
      <c r="R87" s="478">
        <f>R46-R86*$C46</f>
        <v>0.5</v>
      </c>
      <c r="S87" s="478">
        <f>S46-S86*$C46</f>
        <v>14.666666666666668</v>
      </c>
      <c r="T87" s="477"/>
      <c r="U87" s="478">
        <f>U46-U86*$C46</f>
        <v>-1.3333333333333286</v>
      </c>
      <c r="V87" s="479">
        <f>V46-V86*$C46</f>
        <v>41</v>
      </c>
      <c r="W87" s="295" t="s">
        <v>291</v>
      </c>
      <c r="X87" s="295"/>
    </row>
    <row r="88" spans="2:24" x14ac:dyDescent="0.2">
      <c r="B88" s="61"/>
      <c r="C88" s="468"/>
      <c r="D88" s="472" t="s">
        <v>277</v>
      </c>
      <c r="E88" s="327"/>
      <c r="F88" s="328">
        <f>(F50-F47)/($C50-$C47)</f>
        <v>6</v>
      </c>
      <c r="G88" s="328">
        <f>(G50-G47)/($C50-$C47)</f>
        <v>3.3333333333333335</v>
      </c>
      <c r="H88" s="469"/>
      <c r="I88" s="328">
        <f>(I50-I47)/($C50-$C47)</f>
        <v>1.8333333333333333</v>
      </c>
      <c r="J88" s="328">
        <f>(J50-J47)/($C50-$C47)</f>
        <v>0.5</v>
      </c>
      <c r="K88" s="469"/>
      <c r="L88" s="328">
        <f>(L50-L47)/($C50-$C47)</f>
        <v>6.666666666666667</v>
      </c>
      <c r="M88" s="330">
        <f>(M50-M47)/($C50-$C47)</f>
        <v>3</v>
      </c>
      <c r="N88" s="470"/>
      <c r="O88" s="328">
        <f>(O50-O47)/($C50-$C47)</f>
        <v>5</v>
      </c>
      <c r="P88" s="328">
        <f>(P50-P47)/($C50-$C47)</f>
        <v>3.3333333333333335</v>
      </c>
      <c r="Q88" s="469"/>
      <c r="R88" s="328">
        <f>(R50-R47)/($C50-$C47)</f>
        <v>1.5</v>
      </c>
      <c r="S88" s="328">
        <f>(S50-S47)/($C50-$C47)</f>
        <v>0.33333333333333331</v>
      </c>
      <c r="T88" s="469"/>
      <c r="U88" s="328">
        <f>(U50-U47)/($C50-$C47)</f>
        <v>7.333333333333333</v>
      </c>
      <c r="V88" s="330">
        <f>(V50-V47)/($C50-$C47)</f>
        <v>5</v>
      </c>
      <c r="W88" s="295" t="s">
        <v>290</v>
      </c>
    </row>
    <row r="89" spans="2:24" ht="13.5" thickBot="1" x14ac:dyDescent="0.25">
      <c r="B89" s="61"/>
      <c r="C89" s="480"/>
      <c r="D89" s="481"/>
      <c r="E89" s="289"/>
      <c r="F89" s="296">
        <f>F50-F88*$C50</f>
        <v>-1</v>
      </c>
      <c r="G89" s="296">
        <f>G50-G88*$C50</f>
        <v>32.666666666666664</v>
      </c>
      <c r="H89" s="292"/>
      <c r="I89" s="297">
        <f>I50-I88*$C50</f>
        <v>0.16666666666666785</v>
      </c>
      <c r="J89" s="297">
        <f>J50-J88*$C50</f>
        <v>16.5</v>
      </c>
      <c r="K89" s="292"/>
      <c r="L89" s="297">
        <f>L50-L88*$C50</f>
        <v>0.3333333333333286</v>
      </c>
      <c r="M89" s="299">
        <f>M50-M88*$C50</f>
        <v>44</v>
      </c>
      <c r="N89" s="325"/>
      <c r="O89" s="296">
        <f>O50-O88*$C50</f>
        <v>0</v>
      </c>
      <c r="P89" s="296">
        <f>P50-P88*$C50</f>
        <v>25.666666666666664</v>
      </c>
      <c r="Q89" s="292"/>
      <c r="R89" s="297">
        <f>R50-R88*$C50</f>
        <v>0.5</v>
      </c>
      <c r="S89" s="297">
        <f>S50-S88*$C50</f>
        <v>14.666666666666668</v>
      </c>
      <c r="T89" s="292"/>
      <c r="U89" s="297">
        <f>U50-U88*$C50</f>
        <v>-1.3333333333333286</v>
      </c>
      <c r="V89" s="299">
        <f>V50-V88*$C50</f>
        <v>34</v>
      </c>
      <c r="W89" s="295" t="s">
        <v>291</v>
      </c>
      <c r="X89" s="295"/>
    </row>
    <row r="90" spans="2:24" ht="13.5" thickTop="1" x14ac:dyDescent="0.2">
      <c r="B90" s="105" t="s">
        <v>264</v>
      </c>
      <c r="C90" s="482"/>
      <c r="D90" s="483" t="s">
        <v>258</v>
      </c>
      <c r="E90" s="283"/>
      <c r="F90" s="441"/>
      <c r="G90" s="441"/>
      <c r="H90" s="286"/>
      <c r="I90" s="287"/>
      <c r="J90" s="287"/>
      <c r="K90" s="286"/>
      <c r="L90" s="287"/>
      <c r="M90" s="442"/>
      <c r="N90" s="441"/>
      <c r="O90" s="484">
        <f>(O54-O51)/($C54-$C51)</f>
        <v>7.333333333333333</v>
      </c>
      <c r="P90" s="484">
        <f>(P54-P51)/($C54-$C51)</f>
        <v>4</v>
      </c>
      <c r="Q90" s="286"/>
      <c r="R90" s="484">
        <f>(R54-R51)/($C54-$C51)</f>
        <v>2</v>
      </c>
      <c r="S90" s="484">
        <f>(S54-S51)/($C54-$C51)</f>
        <v>0.33333333333333331</v>
      </c>
      <c r="T90" s="286"/>
      <c r="U90" s="484">
        <f>(U54-U51)/($C54-$C51)</f>
        <v>9</v>
      </c>
      <c r="V90" s="485">
        <f>(V54-V51)/($C54-$C51)</f>
        <v>6.666666666666667</v>
      </c>
      <c r="W90" s="295" t="s">
        <v>290</v>
      </c>
    </row>
    <row r="91" spans="2:24" x14ac:dyDescent="0.2">
      <c r="B91" s="125"/>
      <c r="C91" s="480"/>
      <c r="D91" s="481"/>
      <c r="E91" s="289"/>
      <c r="F91" s="325"/>
      <c r="G91" s="325"/>
      <c r="H91" s="292"/>
      <c r="I91" s="293"/>
      <c r="J91" s="293"/>
      <c r="K91" s="292"/>
      <c r="L91" s="293"/>
      <c r="M91" s="443"/>
      <c r="N91" s="325"/>
      <c r="O91" s="296">
        <f>O54-O90*$C54</f>
        <v>-3.3333333333333286</v>
      </c>
      <c r="P91" s="296">
        <f>P54-P90*$C54</f>
        <v>32</v>
      </c>
      <c r="Q91" s="292"/>
      <c r="R91" s="297">
        <f>R54-R90*$C54</f>
        <v>0.5</v>
      </c>
      <c r="S91" s="297">
        <f>S54-S90*$C54</f>
        <v>22.666666666666668</v>
      </c>
      <c r="T91" s="292"/>
      <c r="U91" s="297">
        <f>U54-U90*$C54</f>
        <v>0</v>
      </c>
      <c r="V91" s="299">
        <f>V54-V90*$C54</f>
        <v>46.333333333333329</v>
      </c>
      <c r="W91" s="295" t="s">
        <v>291</v>
      </c>
      <c r="X91" s="295"/>
    </row>
    <row r="92" spans="2:24" x14ac:dyDescent="0.2">
      <c r="B92" s="125">
        <v>3</v>
      </c>
      <c r="C92" s="468"/>
      <c r="D92" s="472" t="s">
        <v>276</v>
      </c>
      <c r="E92" s="327"/>
      <c r="F92" s="444"/>
      <c r="G92" s="444"/>
      <c r="H92" s="445"/>
      <c r="I92" s="329"/>
      <c r="J92" s="329"/>
      <c r="K92" s="445"/>
      <c r="L92" s="329"/>
      <c r="M92" s="446"/>
      <c r="N92" s="444"/>
      <c r="O92" s="328">
        <f>(O58-O55)/($C58-$C55)</f>
        <v>7.333333333333333</v>
      </c>
      <c r="P92" s="328">
        <f>(P58-P55)/($C58-$C55)</f>
        <v>3.6666666666666665</v>
      </c>
      <c r="Q92" s="445"/>
      <c r="R92" s="328">
        <f>(R58-R55)/($C58-$C55)</f>
        <v>2</v>
      </c>
      <c r="S92" s="328">
        <f>(S58-S55)/($C58-$C55)</f>
        <v>0.33333333333333331</v>
      </c>
      <c r="T92" s="445"/>
      <c r="U92" s="328">
        <f>(U58-U55)/($C58-$C55)</f>
        <v>9</v>
      </c>
      <c r="V92" s="330">
        <f>(V58-V55)/($C58-$C55)</f>
        <v>6.666666666666667</v>
      </c>
      <c r="W92" s="295" t="s">
        <v>290</v>
      </c>
    </row>
    <row r="93" spans="2:24" x14ac:dyDescent="0.2">
      <c r="B93" s="125"/>
      <c r="C93" s="473"/>
      <c r="D93" s="474"/>
      <c r="E93" s="475"/>
      <c r="F93" s="486"/>
      <c r="G93" s="486"/>
      <c r="H93" s="477"/>
      <c r="I93" s="487"/>
      <c r="J93" s="487"/>
      <c r="K93" s="477"/>
      <c r="L93" s="487"/>
      <c r="M93" s="488"/>
      <c r="N93" s="486"/>
      <c r="O93" s="296">
        <f>O58-O92*$C58</f>
        <v>-3.3333333333333286</v>
      </c>
      <c r="P93" s="476">
        <f>P58-P92*$C58</f>
        <v>38.333333333333336</v>
      </c>
      <c r="Q93" s="477"/>
      <c r="R93" s="478">
        <f>R58-R92*$C58</f>
        <v>0.5</v>
      </c>
      <c r="S93" s="478">
        <f>S58-S92*$C58</f>
        <v>22.666666666666668</v>
      </c>
      <c r="T93" s="477"/>
      <c r="U93" s="478">
        <f>U58-U92*$C58</f>
        <v>0</v>
      </c>
      <c r="V93" s="479">
        <f>V58-V92*$C58</f>
        <v>46.333333333333329</v>
      </c>
      <c r="W93" s="295" t="s">
        <v>291</v>
      </c>
      <c r="X93" s="295"/>
    </row>
    <row r="94" spans="2:24" x14ac:dyDescent="0.2">
      <c r="B94" s="125" t="s">
        <v>288</v>
      </c>
      <c r="C94" s="468"/>
      <c r="D94" s="472" t="s">
        <v>277</v>
      </c>
      <c r="E94" s="327"/>
      <c r="F94" s="444"/>
      <c r="G94" s="444"/>
      <c r="H94" s="445"/>
      <c r="I94" s="329"/>
      <c r="J94" s="329"/>
      <c r="K94" s="445"/>
      <c r="L94" s="329"/>
      <c r="M94" s="446"/>
      <c r="N94" s="444"/>
      <c r="O94" s="328">
        <f>(O62-O59)/($C62-$C59)</f>
        <v>7.333333333333333</v>
      </c>
      <c r="P94" s="328">
        <f>(P62-P59)/($C62-$C59)</f>
        <v>3.3333333333333335</v>
      </c>
      <c r="Q94" s="445"/>
      <c r="R94" s="328">
        <f>(R62-R59)/($C62-$C59)</f>
        <v>2</v>
      </c>
      <c r="S94" s="328">
        <f>(S62-S59)/($C62-$C59)</f>
        <v>0.33333333333333331</v>
      </c>
      <c r="T94" s="445"/>
      <c r="U94" s="328">
        <f>(U62-U59)/($C62-$C59)</f>
        <v>9</v>
      </c>
      <c r="V94" s="330">
        <f>(V62-V59)/($C62-$C59)</f>
        <v>5.333333333333333</v>
      </c>
      <c r="W94" s="295" t="s">
        <v>290</v>
      </c>
    </row>
    <row r="95" spans="2:24" x14ac:dyDescent="0.2">
      <c r="B95" s="125"/>
      <c r="C95" s="489"/>
      <c r="D95" s="481"/>
      <c r="E95" s="289"/>
      <c r="F95" s="325"/>
      <c r="G95" s="325"/>
      <c r="H95" s="451"/>
      <c r="I95" s="293"/>
      <c r="J95" s="293"/>
      <c r="K95" s="292"/>
      <c r="L95" s="293"/>
      <c r="M95" s="443"/>
      <c r="N95" s="325"/>
      <c r="O95" s="296">
        <f>O62-O94*$C62</f>
        <v>-3.3333333333333286</v>
      </c>
      <c r="P95" s="296">
        <f>P62-P94*$C62</f>
        <v>37.666666666666664</v>
      </c>
      <c r="Q95" s="293"/>
      <c r="R95" s="297">
        <f>R62-R94*$C62</f>
        <v>0.5</v>
      </c>
      <c r="S95" s="297">
        <f>S62-S94*$C62</f>
        <v>22.666666666666668</v>
      </c>
      <c r="T95" s="292"/>
      <c r="U95" s="297">
        <f>U62-U94*$C62</f>
        <v>0</v>
      </c>
      <c r="V95" s="299">
        <f>V62-V94*$C62</f>
        <v>46.666666666666671</v>
      </c>
      <c r="W95" s="295" t="s">
        <v>291</v>
      </c>
      <c r="X95" s="295"/>
    </row>
    <row r="96" spans="2:24" ht="3" customHeight="1" x14ac:dyDescent="0.2">
      <c r="B96" s="454"/>
      <c r="C96" s="429"/>
      <c r="D96" s="227"/>
      <c r="E96" s="490"/>
      <c r="F96" s="247"/>
      <c r="G96" s="247"/>
      <c r="H96" s="247"/>
      <c r="I96" s="247"/>
      <c r="J96" s="247"/>
      <c r="K96" s="246"/>
      <c r="L96" s="247"/>
      <c r="M96" s="491"/>
      <c r="N96" s="247"/>
      <c r="O96" s="247"/>
      <c r="P96" s="247"/>
      <c r="Q96" s="247"/>
      <c r="R96" s="247"/>
      <c r="S96" s="247"/>
      <c r="T96" s="246"/>
      <c r="U96" s="247"/>
      <c r="V96" s="491"/>
    </row>
    <row r="97" spans="2:29" x14ac:dyDescent="0.2">
      <c r="B97" s="454" t="s">
        <v>264</v>
      </c>
      <c r="C97" s="492" t="s">
        <v>280</v>
      </c>
      <c r="D97" s="493" t="s">
        <v>282</v>
      </c>
      <c r="E97" s="494"/>
      <c r="F97" s="495"/>
      <c r="G97" s="496"/>
      <c r="H97" s="497"/>
      <c r="I97" s="498"/>
      <c r="J97" s="498"/>
      <c r="K97" s="497"/>
      <c r="L97" s="498"/>
      <c r="M97" s="499"/>
      <c r="N97" s="455"/>
      <c r="O97" s="455"/>
      <c r="P97" s="455"/>
      <c r="Q97" s="455"/>
      <c r="R97" s="455"/>
      <c r="S97" s="455"/>
      <c r="T97" s="633"/>
      <c r="U97" s="455"/>
      <c r="V97" s="456"/>
    </row>
    <row r="98" spans="2:29" x14ac:dyDescent="0.2">
      <c r="B98" s="125">
        <v>3</v>
      </c>
      <c r="C98" s="500" t="s">
        <v>281</v>
      </c>
      <c r="D98" s="186" t="s">
        <v>283</v>
      </c>
      <c r="E98" s="501"/>
      <c r="F98" s="502"/>
      <c r="G98" s="503"/>
      <c r="H98" s="504"/>
      <c r="I98" s="505"/>
      <c r="J98" s="505"/>
      <c r="K98" s="504"/>
      <c r="L98" s="505"/>
      <c r="M98" s="506"/>
      <c r="N98" s="457"/>
      <c r="O98" s="457"/>
      <c r="P98" s="457"/>
      <c r="Q98" s="457"/>
      <c r="R98" s="457"/>
      <c r="S98" s="457"/>
      <c r="T98" s="634"/>
      <c r="U98" s="457"/>
      <c r="V98" s="458"/>
    </row>
    <row r="99" spans="2:29" x14ac:dyDescent="0.2">
      <c r="B99" s="125"/>
      <c r="C99" s="459" t="s">
        <v>280</v>
      </c>
      <c r="D99" s="133" t="s">
        <v>282</v>
      </c>
      <c r="E99" s="507"/>
      <c r="F99" s="435"/>
      <c r="G99" s="508"/>
      <c r="H99" s="445"/>
      <c r="I99" s="329"/>
      <c r="J99" s="329"/>
      <c r="K99" s="445"/>
      <c r="L99" s="329"/>
      <c r="M99" s="446"/>
      <c r="N99" s="460"/>
      <c r="O99" s="460"/>
      <c r="P99" s="460"/>
      <c r="Q99" s="460"/>
      <c r="R99" s="460"/>
      <c r="S99" s="460"/>
      <c r="T99" s="635"/>
      <c r="U99" s="460"/>
      <c r="V99" s="461"/>
    </row>
    <row r="100" spans="2:29" ht="13.5" thickBot="1" x14ac:dyDescent="0.25">
      <c r="B100" s="462"/>
      <c r="C100" s="76" t="s">
        <v>284</v>
      </c>
      <c r="D100" s="463" t="s">
        <v>283</v>
      </c>
      <c r="E100" s="509"/>
      <c r="F100" s="438"/>
      <c r="G100" s="510"/>
      <c r="H100" s="511"/>
      <c r="I100" s="333"/>
      <c r="J100" s="333"/>
      <c r="K100" s="511"/>
      <c r="L100" s="333"/>
      <c r="M100" s="512"/>
      <c r="N100" s="464"/>
      <c r="O100" s="464"/>
      <c r="P100" s="464"/>
      <c r="Q100" s="464"/>
      <c r="R100" s="464"/>
      <c r="S100" s="464"/>
      <c r="T100" s="636"/>
      <c r="U100" s="464"/>
      <c r="V100" s="465"/>
    </row>
    <row r="101" spans="2:29" ht="13.5" thickTop="1" x14ac:dyDescent="0.2"/>
    <row r="102" spans="2:29" x14ac:dyDescent="0.2">
      <c r="AC102" s="46"/>
    </row>
    <row r="103" spans="2:29" x14ac:dyDescent="0.2">
      <c r="B103" s="14" t="s">
        <v>285</v>
      </c>
    </row>
    <row r="104" spans="2:29" ht="3" customHeight="1" thickBot="1" x14ac:dyDescent="0.25">
      <c r="B104" s="14"/>
    </row>
    <row r="105" spans="2:29" ht="13.5" thickTop="1" x14ac:dyDescent="0.2">
      <c r="E105" s="3435" t="s">
        <v>260</v>
      </c>
      <c r="F105" s="3436"/>
      <c r="G105" s="3436"/>
      <c r="H105" s="3436"/>
      <c r="I105" s="3436"/>
      <c r="J105" s="3436"/>
      <c r="K105" s="3436"/>
      <c r="L105" s="3436"/>
      <c r="M105" s="3437"/>
      <c r="N105" s="3435" t="s">
        <v>262</v>
      </c>
      <c r="O105" s="3436"/>
      <c r="P105" s="3436"/>
      <c r="Q105" s="3436"/>
      <c r="R105" s="3436"/>
      <c r="S105" s="3436"/>
      <c r="T105" s="3436"/>
      <c r="U105" s="3436"/>
      <c r="V105" s="3437"/>
    </row>
    <row r="106" spans="2:29" x14ac:dyDescent="0.2">
      <c r="E106" s="3438" t="s">
        <v>261</v>
      </c>
      <c r="F106" s="3439"/>
      <c r="G106" s="3439"/>
      <c r="H106" s="3439"/>
      <c r="I106" s="3439"/>
      <c r="J106" s="3439"/>
      <c r="K106" s="3439"/>
      <c r="L106" s="3439"/>
      <c r="M106" s="3440"/>
      <c r="N106" s="3438" t="s">
        <v>263</v>
      </c>
      <c r="O106" s="3439"/>
      <c r="P106" s="3439"/>
      <c r="Q106" s="3439"/>
      <c r="R106" s="3439"/>
      <c r="S106" s="3439"/>
      <c r="T106" s="3439"/>
      <c r="U106" s="3439"/>
      <c r="V106" s="3440"/>
    </row>
    <row r="107" spans="2:29" x14ac:dyDescent="0.2">
      <c r="E107" s="3441" t="s">
        <v>256</v>
      </c>
      <c r="F107" s="3430"/>
      <c r="G107" s="3431"/>
      <c r="H107" s="3429" t="s">
        <v>257</v>
      </c>
      <c r="I107" s="3430"/>
      <c r="J107" s="3430"/>
      <c r="K107" s="3429" t="s">
        <v>756</v>
      </c>
      <c r="L107" s="3430"/>
      <c r="M107" s="3434"/>
      <c r="N107" s="3441" t="s">
        <v>256</v>
      </c>
      <c r="O107" s="3430"/>
      <c r="P107" s="3431"/>
      <c r="Q107" s="3429" t="s">
        <v>257</v>
      </c>
      <c r="R107" s="3430"/>
      <c r="S107" s="3430"/>
      <c r="T107" s="3429" t="s">
        <v>756</v>
      </c>
      <c r="U107" s="3430"/>
      <c r="V107" s="3434"/>
    </row>
    <row r="108" spans="2:29" x14ac:dyDescent="0.2">
      <c r="C108" s="50" t="s">
        <v>255</v>
      </c>
      <c r="D108" s="212" t="s">
        <v>181</v>
      </c>
      <c r="E108" s="110" t="s">
        <v>249</v>
      </c>
      <c r="F108" s="36" t="s">
        <v>247</v>
      </c>
      <c r="G108" s="36"/>
      <c r="H108" s="35" t="s">
        <v>249</v>
      </c>
      <c r="I108" s="36" t="s">
        <v>247</v>
      </c>
      <c r="J108" s="36"/>
      <c r="K108" s="35" t="s">
        <v>249</v>
      </c>
      <c r="L108" s="36" t="s">
        <v>247</v>
      </c>
      <c r="M108" s="109"/>
      <c r="N108" s="110" t="s">
        <v>249</v>
      </c>
      <c r="O108" s="36" t="s">
        <v>247</v>
      </c>
      <c r="P108" s="36"/>
      <c r="Q108" s="35" t="s">
        <v>249</v>
      </c>
      <c r="R108" s="36" t="s">
        <v>247</v>
      </c>
      <c r="S108" s="36"/>
      <c r="T108" s="35" t="s">
        <v>249</v>
      </c>
      <c r="U108" s="36" t="s">
        <v>247</v>
      </c>
      <c r="V108" s="109"/>
    </row>
    <row r="109" spans="2:29" ht="13.5" thickBot="1" x14ac:dyDescent="0.25">
      <c r="B109" s="176"/>
      <c r="C109" s="51" t="s">
        <v>272</v>
      </c>
      <c r="D109" s="126" t="s">
        <v>259</v>
      </c>
      <c r="E109" s="110" t="s">
        <v>248</v>
      </c>
      <c r="F109" s="36" t="s">
        <v>246</v>
      </c>
      <c r="G109" s="36" t="s">
        <v>244</v>
      </c>
      <c r="H109" s="35" t="s">
        <v>248</v>
      </c>
      <c r="I109" s="36" t="s">
        <v>246</v>
      </c>
      <c r="J109" s="36" t="s">
        <v>244</v>
      </c>
      <c r="K109" s="35" t="s">
        <v>248</v>
      </c>
      <c r="L109" s="36" t="s">
        <v>246</v>
      </c>
      <c r="M109" s="109" t="s">
        <v>244</v>
      </c>
      <c r="N109" s="110" t="s">
        <v>248</v>
      </c>
      <c r="O109" s="36" t="s">
        <v>246</v>
      </c>
      <c r="P109" s="36" t="s">
        <v>244</v>
      </c>
      <c r="Q109" s="35" t="s">
        <v>248</v>
      </c>
      <c r="R109" s="36" t="s">
        <v>246</v>
      </c>
      <c r="S109" s="36" t="s">
        <v>244</v>
      </c>
      <c r="T109" s="35" t="s">
        <v>248</v>
      </c>
      <c r="U109" s="36" t="s">
        <v>246</v>
      </c>
      <c r="V109" s="109" t="s">
        <v>244</v>
      </c>
      <c r="W109" s="171" t="s">
        <v>391</v>
      </c>
      <c r="X109" s="336"/>
      <c r="Y109" s="336"/>
      <c r="Z109" s="172"/>
    </row>
    <row r="110" spans="2:29" ht="13.5" thickTop="1" x14ac:dyDescent="0.2">
      <c r="B110" s="252" t="s">
        <v>264</v>
      </c>
      <c r="C110" s="117" t="s">
        <v>484</v>
      </c>
      <c r="D110" s="430"/>
      <c r="E110" s="431">
        <f>G110-F110</f>
        <v>0</v>
      </c>
      <c r="F110" s="432">
        <f>F30*F$128*$W110</f>
        <v>0</v>
      </c>
      <c r="G110" s="432">
        <f>G30*G$128*$W110</f>
        <v>0</v>
      </c>
      <c r="H110" s="193">
        <f>J110-I110</f>
        <v>0</v>
      </c>
      <c r="I110" s="194">
        <f>I30*I$128*$W110</f>
        <v>0</v>
      </c>
      <c r="J110" s="194">
        <f>J30*J$128*$W110</f>
        <v>0</v>
      </c>
      <c r="K110" s="193">
        <f>M110-L110</f>
        <v>0</v>
      </c>
      <c r="L110" s="194">
        <f>L30*L$128*$W110</f>
        <v>0</v>
      </c>
      <c r="M110" s="433">
        <f>M30*M$128*$W110</f>
        <v>0</v>
      </c>
      <c r="N110" s="431">
        <f>P110-O110</f>
        <v>0</v>
      </c>
      <c r="O110" s="432">
        <f>O30*O$128*$W110</f>
        <v>0</v>
      </c>
      <c r="P110" s="432">
        <f>P30*P$128*$W110</f>
        <v>0</v>
      </c>
      <c r="Q110" s="193">
        <f>S110-R110</f>
        <v>0</v>
      </c>
      <c r="R110" s="194">
        <f>R30*R$128*$W110</f>
        <v>0</v>
      </c>
      <c r="S110" s="194">
        <f>S30*S$128*$W110</f>
        <v>0</v>
      </c>
      <c r="T110" s="193">
        <f>V110-U110</f>
        <v>0</v>
      </c>
      <c r="U110" s="194">
        <f>U30*U$128*$W110</f>
        <v>0</v>
      </c>
      <c r="V110" s="433">
        <f>V30*V$128*$W110</f>
        <v>0</v>
      </c>
      <c r="W110" s="173">
        <f>IF(AND($C$112=0,OR(AGL_An1SanPat=1,AGL_An1SanPat=3)),$X$110,0)</f>
        <v>0</v>
      </c>
      <c r="X110" s="855">
        <f>IF(VL_NbGenAn1&gt;0,1,0)</f>
        <v>1</v>
      </c>
      <c r="Y110" s="851" t="s">
        <v>395</v>
      </c>
      <c r="Z110" s="851"/>
      <c r="AA110" s="851"/>
      <c r="AB110" s="851"/>
    </row>
    <row r="111" spans="2:29" x14ac:dyDescent="0.2">
      <c r="B111" s="257">
        <v>1</v>
      </c>
      <c r="C111" s="127" t="s">
        <v>274</v>
      </c>
      <c r="D111" s="434"/>
      <c r="E111" s="110">
        <f t="shared" ref="E111:E118" si="16">G111-F111</f>
        <v>0</v>
      </c>
      <c r="F111" s="36">
        <f>F31*F$128*$W111</f>
        <v>0</v>
      </c>
      <c r="G111" s="36">
        <f>G31*G$128*$W111</f>
        <v>0</v>
      </c>
      <c r="H111" s="316">
        <f t="shared" ref="H111:H118" si="17">J111-I111</f>
        <v>0</v>
      </c>
      <c r="I111" s="185">
        <f>I31*I$128*$W111</f>
        <v>0</v>
      </c>
      <c r="J111" s="185">
        <f>J31*J$128*$W111</f>
        <v>0</v>
      </c>
      <c r="K111" s="316">
        <f t="shared" ref="K111:K118" si="18">M111-L111</f>
        <v>0</v>
      </c>
      <c r="L111" s="185">
        <f>L31*L$128*$W111</f>
        <v>0</v>
      </c>
      <c r="M111" s="367">
        <f>M31*M$128*$W111</f>
        <v>0</v>
      </c>
      <c r="N111" s="110">
        <f t="shared" ref="N111:N121" si="19">P111-O111</f>
        <v>0</v>
      </c>
      <c r="O111" s="36">
        <f>O31*O$128*$W111</f>
        <v>0</v>
      </c>
      <c r="P111" s="36">
        <f>P31*P$128*$W111</f>
        <v>0</v>
      </c>
      <c r="Q111" s="316">
        <f t="shared" ref="Q111:Q121" si="20">S111-R111</f>
        <v>0</v>
      </c>
      <c r="R111" s="185">
        <f>R31*R$128*$W111</f>
        <v>0</v>
      </c>
      <c r="S111" s="185">
        <f>S31*S$128*$W111</f>
        <v>0</v>
      </c>
      <c r="T111" s="316">
        <f t="shared" ref="T111:T120" si="21">V111-U111</f>
        <v>0</v>
      </c>
      <c r="U111" s="185">
        <f>U31*U$128*$W111</f>
        <v>0</v>
      </c>
      <c r="V111" s="367">
        <f>V31*V$128*$W111</f>
        <v>0</v>
      </c>
      <c r="W111" s="173">
        <f>IF(AND($C$112=0,AGL_An1SanPat=2),$X$110,0)</f>
        <v>0</v>
      </c>
    </row>
    <row r="112" spans="2:29" ht="13.5" thickBot="1" x14ac:dyDescent="0.25">
      <c r="B112" s="257" t="s">
        <v>288</v>
      </c>
      <c r="C112" s="459">
        <f>AGL_MoHeAn1</f>
        <v>4</v>
      </c>
      <c r="D112" s="435"/>
      <c r="E112" s="277">
        <f t="shared" si="16"/>
        <v>17</v>
      </c>
      <c r="F112" s="513">
        <f>(F79*$C112+F80)*F$128*$W112</f>
        <v>8.0000000000000018</v>
      </c>
      <c r="G112" s="514">
        <f>(G79*$C112+G80)*G$128*$W112</f>
        <v>25</v>
      </c>
      <c r="H112" s="279">
        <f t="shared" si="17"/>
        <v>3.4999999999999996</v>
      </c>
      <c r="I112" s="515">
        <f>(I79*$C112+I80)*I$128*$W112</f>
        <v>2.5000000000000004</v>
      </c>
      <c r="J112" s="515">
        <f>(J79*$C112+J80)*J$128*$W112</f>
        <v>6</v>
      </c>
      <c r="K112" s="279">
        <f t="shared" si="18"/>
        <v>10</v>
      </c>
      <c r="L112" s="515">
        <f>(L79*$C112+L80)*L$128*$W112</f>
        <v>20</v>
      </c>
      <c r="M112" s="516">
        <f>(M79*$C112+M80)*M$128*$W112</f>
        <v>30</v>
      </c>
      <c r="N112" s="277">
        <f t="shared" si="19"/>
        <v>0</v>
      </c>
      <c r="O112" s="514">
        <f>(O79*$C112+O80)*O$128*$W112</f>
        <v>0</v>
      </c>
      <c r="P112" s="514">
        <f>(P79*$C112+P80)*P$128*$W112</f>
        <v>0</v>
      </c>
      <c r="Q112" s="279">
        <f t="shared" si="20"/>
        <v>0</v>
      </c>
      <c r="R112" s="515">
        <f>(R79*$C112+R80)*R$128*$W112</f>
        <v>0</v>
      </c>
      <c r="S112" s="515">
        <f>(S79*$C112+S80)*S$128*$W112</f>
        <v>0</v>
      </c>
      <c r="T112" s="279">
        <f t="shared" si="21"/>
        <v>0</v>
      </c>
      <c r="U112" s="515">
        <f>(U79*$C112+U80)*U$128*$W112</f>
        <v>0</v>
      </c>
      <c r="V112" s="516">
        <f>(V79*$C112+V80)*V$128*$W112</f>
        <v>0</v>
      </c>
      <c r="W112" s="173">
        <f>IF($C$112&gt;0,$X$110,0)</f>
        <v>1</v>
      </c>
    </row>
    <row r="113" spans="2:28" ht="13.5" thickTop="1" x14ac:dyDescent="0.2">
      <c r="B113" s="252" t="s">
        <v>264</v>
      </c>
      <c r="C113" s="117" t="s">
        <v>273</v>
      </c>
      <c r="D113" s="430"/>
      <c r="E113" s="256">
        <f t="shared" si="16"/>
        <v>0</v>
      </c>
      <c r="F113" s="253">
        <f t="shared" ref="F113:G115" si="22">F36*F$128*$W113</f>
        <v>0</v>
      </c>
      <c r="G113" s="253">
        <f t="shared" si="22"/>
        <v>0</v>
      </c>
      <c r="H113" s="210">
        <f t="shared" si="17"/>
        <v>0</v>
      </c>
      <c r="I113" s="118">
        <f t="shared" ref="I113:J115" si="23">I36*I$128*$W113</f>
        <v>0</v>
      </c>
      <c r="J113" s="118">
        <f t="shared" si="23"/>
        <v>0</v>
      </c>
      <c r="K113" s="210">
        <f t="shared" si="18"/>
        <v>0</v>
      </c>
      <c r="L113" s="118">
        <f t="shared" ref="L113:M115" si="24">L36*L$128*$W113</f>
        <v>0</v>
      </c>
      <c r="M113" s="119">
        <f t="shared" si="24"/>
        <v>0</v>
      </c>
      <c r="N113" s="256">
        <f t="shared" si="19"/>
        <v>0</v>
      </c>
      <c r="O113" s="253">
        <f t="shared" ref="O113:P115" si="25">O36*O$128*$W113</f>
        <v>0</v>
      </c>
      <c r="P113" s="253">
        <f t="shared" si="25"/>
        <v>0</v>
      </c>
      <c r="Q113" s="210">
        <f t="shared" si="20"/>
        <v>0</v>
      </c>
      <c r="R113" s="118">
        <f t="shared" ref="R113:S115" si="26">R36*R$128*$W113</f>
        <v>0</v>
      </c>
      <c r="S113" s="118">
        <f t="shared" si="26"/>
        <v>0</v>
      </c>
      <c r="T113" s="210">
        <f t="shared" si="21"/>
        <v>0</v>
      </c>
      <c r="U113" s="118">
        <f t="shared" ref="U113:V115" si="27">U36*U$128*$W113</f>
        <v>0</v>
      </c>
      <c r="V113" s="119">
        <f t="shared" si="27"/>
        <v>0</v>
      </c>
      <c r="W113" s="173">
        <f>IF(AND($C$116=0,AGL_An2SanPat=1),$X$113,0)</f>
        <v>0</v>
      </c>
      <c r="X113" s="855">
        <f>IF(VL_NbGenAn2&gt;0,1,0)</f>
        <v>1</v>
      </c>
      <c r="Y113" s="851" t="s">
        <v>397</v>
      </c>
      <c r="Z113" s="851"/>
      <c r="AA113" s="851"/>
      <c r="AB113" s="851"/>
    </row>
    <row r="114" spans="2:28" x14ac:dyDescent="0.2">
      <c r="B114" s="257">
        <v>2</v>
      </c>
      <c r="C114" s="127" t="s">
        <v>274</v>
      </c>
      <c r="D114" s="434"/>
      <c r="E114" s="261">
        <f t="shared" si="16"/>
        <v>0</v>
      </c>
      <c r="F114" s="258">
        <f t="shared" si="22"/>
        <v>0</v>
      </c>
      <c r="G114" s="258">
        <f t="shared" si="22"/>
        <v>0</v>
      </c>
      <c r="H114" s="204">
        <f t="shared" si="17"/>
        <v>0</v>
      </c>
      <c r="I114" s="128">
        <f t="shared" si="23"/>
        <v>0</v>
      </c>
      <c r="J114" s="128">
        <f t="shared" si="23"/>
        <v>0</v>
      </c>
      <c r="K114" s="204">
        <f t="shared" si="18"/>
        <v>0</v>
      </c>
      <c r="L114" s="128">
        <f t="shared" si="24"/>
        <v>0</v>
      </c>
      <c r="M114" s="129">
        <f t="shared" si="24"/>
        <v>0</v>
      </c>
      <c r="N114" s="261">
        <f t="shared" si="19"/>
        <v>0</v>
      </c>
      <c r="O114" s="258">
        <f t="shared" si="25"/>
        <v>0</v>
      </c>
      <c r="P114" s="258">
        <f t="shared" si="25"/>
        <v>0</v>
      </c>
      <c r="Q114" s="204">
        <f t="shared" si="20"/>
        <v>0</v>
      </c>
      <c r="R114" s="128">
        <f t="shared" si="26"/>
        <v>0</v>
      </c>
      <c r="S114" s="128">
        <f t="shared" si="26"/>
        <v>0</v>
      </c>
      <c r="T114" s="204">
        <f t="shared" si="21"/>
        <v>0</v>
      </c>
      <c r="U114" s="128">
        <f t="shared" si="27"/>
        <v>0</v>
      </c>
      <c r="V114" s="129">
        <f t="shared" si="27"/>
        <v>0</v>
      </c>
      <c r="W114" s="173">
        <f>IF(AND($C$116=0,AGL_An2SanPat=2),$X$113,0)</f>
        <v>0</v>
      </c>
    </row>
    <row r="115" spans="2:28" x14ac:dyDescent="0.2">
      <c r="B115" s="257" t="s">
        <v>278</v>
      </c>
      <c r="C115" s="127" t="s">
        <v>275</v>
      </c>
      <c r="D115" s="434"/>
      <c r="E115" s="261">
        <f t="shared" si="16"/>
        <v>0</v>
      </c>
      <c r="F115" s="258">
        <f>F38*F$128*$W115</f>
        <v>0</v>
      </c>
      <c r="G115" s="258">
        <f t="shared" si="22"/>
        <v>0</v>
      </c>
      <c r="H115" s="204">
        <f t="shared" si="17"/>
        <v>0</v>
      </c>
      <c r="I115" s="128">
        <f t="shared" si="23"/>
        <v>0</v>
      </c>
      <c r="J115" s="128">
        <f t="shared" si="23"/>
        <v>0</v>
      </c>
      <c r="K115" s="204">
        <f t="shared" si="18"/>
        <v>0</v>
      </c>
      <c r="L115" s="128">
        <f t="shared" si="24"/>
        <v>0</v>
      </c>
      <c r="M115" s="129">
        <f t="shared" si="24"/>
        <v>0</v>
      </c>
      <c r="N115" s="261">
        <f t="shared" si="19"/>
        <v>0</v>
      </c>
      <c r="O115" s="258">
        <f t="shared" si="25"/>
        <v>0</v>
      </c>
      <c r="P115" s="258">
        <f t="shared" si="25"/>
        <v>0</v>
      </c>
      <c r="Q115" s="204">
        <f t="shared" si="20"/>
        <v>0</v>
      </c>
      <c r="R115" s="128">
        <f t="shared" si="26"/>
        <v>0</v>
      </c>
      <c r="S115" s="128">
        <f t="shared" si="26"/>
        <v>0</v>
      </c>
      <c r="T115" s="204">
        <f t="shared" si="21"/>
        <v>0</v>
      </c>
      <c r="U115" s="128">
        <f t="shared" si="27"/>
        <v>0</v>
      </c>
      <c r="V115" s="129">
        <f t="shared" si="27"/>
        <v>0</v>
      </c>
      <c r="W115" s="173">
        <f>IF(AND($C$116=0,AGL_An2SanPat=3),$X$113,0)</f>
        <v>0</v>
      </c>
    </row>
    <row r="116" spans="2:28" x14ac:dyDescent="0.2">
      <c r="B116" s="257" t="s">
        <v>279</v>
      </c>
      <c r="C116" s="459">
        <f>AGL_MoHeAn2</f>
        <v>6</v>
      </c>
      <c r="D116" s="133" t="s">
        <v>258</v>
      </c>
      <c r="E116" s="277">
        <f t="shared" si="16"/>
        <v>15.333333333333336</v>
      </c>
      <c r="F116" s="514">
        <f>(F84*$C116+F85)*F$128*$W116</f>
        <v>35</v>
      </c>
      <c r="G116" s="514">
        <f>(G84*$C116+G85)*G$128*$W116</f>
        <v>50.333333333333336</v>
      </c>
      <c r="H116" s="279">
        <f t="shared" si="17"/>
        <v>8.3333333333333321</v>
      </c>
      <c r="I116" s="515">
        <f>(I84*$C116+I85)*I$128*$W116</f>
        <v>11.166666666666668</v>
      </c>
      <c r="J116" s="515">
        <f>(J84*$C116+J85)*J$128*$W116</f>
        <v>19.5</v>
      </c>
      <c r="K116" s="279">
        <f t="shared" si="18"/>
        <v>26.000000000000014</v>
      </c>
      <c r="L116" s="515">
        <f>(L84*$C116+L85)*L$128*$W116</f>
        <v>40.333333333333329</v>
      </c>
      <c r="M116" s="516">
        <f>(M84*$C116+M85)*M$128*$W116</f>
        <v>66.333333333333343</v>
      </c>
      <c r="N116" s="277">
        <f t="shared" si="19"/>
        <v>0</v>
      </c>
      <c r="O116" s="514">
        <f>(O84*$C116+O85)*O$128*$W116</f>
        <v>0</v>
      </c>
      <c r="P116" s="514">
        <f>(P84*$C116+P85)*P$128*$W116</f>
        <v>0</v>
      </c>
      <c r="Q116" s="279">
        <f t="shared" si="20"/>
        <v>0</v>
      </c>
      <c r="R116" s="515">
        <f>(R84*$C116+R85)*R$128*$W116</f>
        <v>0</v>
      </c>
      <c r="S116" s="515">
        <f>(S84*$C116+S85)*S$128*$W116</f>
        <v>0</v>
      </c>
      <c r="T116" s="279">
        <f t="shared" si="21"/>
        <v>0</v>
      </c>
      <c r="U116" s="515">
        <f>(U84*$C116+U85)*U$128*$W116</f>
        <v>0</v>
      </c>
      <c r="V116" s="516">
        <f>(V84*$C116+V85)*V$128*$W116</f>
        <v>0</v>
      </c>
      <c r="W116" s="173">
        <f>IF(AND($C$116&gt;0,AGL_An2Hiv=1),$X$113,0)</f>
        <v>1</v>
      </c>
    </row>
    <row r="117" spans="2:28" x14ac:dyDescent="0.2">
      <c r="B117" s="61"/>
      <c r="C117" s="459">
        <f>C$116</f>
        <v>6</v>
      </c>
      <c r="D117" s="133" t="s">
        <v>276</v>
      </c>
      <c r="E117" s="277">
        <f t="shared" si="16"/>
        <v>0</v>
      </c>
      <c r="F117" s="514">
        <f>(F86*$C117+F87)*F$128*$W117</f>
        <v>0</v>
      </c>
      <c r="G117" s="514">
        <f>(G86*$C117+G87)*G$128*$W117</f>
        <v>0</v>
      </c>
      <c r="H117" s="279">
        <f t="shared" si="17"/>
        <v>0</v>
      </c>
      <c r="I117" s="515">
        <f>(I86*$C117+I87)*I$128*$W117</f>
        <v>0</v>
      </c>
      <c r="J117" s="515">
        <f>(J86*$C117+J87)*J$128*$W117</f>
        <v>0</v>
      </c>
      <c r="K117" s="279">
        <f t="shared" si="18"/>
        <v>0</v>
      </c>
      <c r="L117" s="515">
        <f>(L86*$C117+L87)*L$128*$W117</f>
        <v>0</v>
      </c>
      <c r="M117" s="516">
        <f>(M86*$C117+M87)*M$128*$W117</f>
        <v>0</v>
      </c>
      <c r="N117" s="277">
        <f t="shared" si="19"/>
        <v>0</v>
      </c>
      <c r="O117" s="514">
        <f>(O86*$C117+O87)*O$128*$W117</f>
        <v>0</v>
      </c>
      <c r="P117" s="514">
        <f>(P86*$C117+P87)*P$128*$W117</f>
        <v>0</v>
      </c>
      <c r="Q117" s="279">
        <f t="shared" si="20"/>
        <v>0</v>
      </c>
      <c r="R117" s="515">
        <f>(R86*$C117+R87)*R$128*$W117</f>
        <v>0</v>
      </c>
      <c r="S117" s="515">
        <f>(S86*$C117+S87)*S$128*$W117</f>
        <v>0</v>
      </c>
      <c r="T117" s="279">
        <f t="shared" si="21"/>
        <v>0</v>
      </c>
      <c r="U117" s="515">
        <f>(U86*$C117+U87)*U$128*$W117</f>
        <v>0</v>
      </c>
      <c r="V117" s="516">
        <f>(V86*$C117+V87)*V$128*$W117</f>
        <v>0</v>
      </c>
      <c r="W117" s="173">
        <f>IF(AND($C$116&gt;0,AGL_An2Hiv=2),$X$113,0)</f>
        <v>0</v>
      </c>
    </row>
    <row r="118" spans="2:28" ht="13.5" thickBot="1" x14ac:dyDescent="0.25">
      <c r="B118" s="61"/>
      <c r="C118" s="459">
        <f>C$116</f>
        <v>6</v>
      </c>
      <c r="D118" s="133" t="s">
        <v>277</v>
      </c>
      <c r="E118" s="277">
        <f t="shared" si="16"/>
        <v>0</v>
      </c>
      <c r="F118" s="514">
        <f>(F88*$C118+F89)*F$128*$W118</f>
        <v>0</v>
      </c>
      <c r="G118" s="514">
        <f>(G88*$C118+G89)*G$128*$W118</f>
        <v>0</v>
      </c>
      <c r="H118" s="279">
        <f t="shared" si="17"/>
        <v>0</v>
      </c>
      <c r="I118" s="515">
        <f>(I88*$C118+I89)*I$128*$W118</f>
        <v>0</v>
      </c>
      <c r="J118" s="515">
        <f>(J88*$C118+J89)*J$128*$W118</f>
        <v>0</v>
      </c>
      <c r="K118" s="279">
        <f t="shared" si="18"/>
        <v>0</v>
      </c>
      <c r="L118" s="515">
        <f>(L88*$C118+L89)*L$128*$W118</f>
        <v>0</v>
      </c>
      <c r="M118" s="516">
        <f>(M88*$C118+M89)*M$128*$W118</f>
        <v>0</v>
      </c>
      <c r="N118" s="277">
        <f t="shared" si="19"/>
        <v>0</v>
      </c>
      <c r="O118" s="514">
        <f>(O88*$C118+O89)*O$128*$W118</f>
        <v>0</v>
      </c>
      <c r="P118" s="514">
        <f>(P88*$C118+P89)*P$128*$W118</f>
        <v>0</v>
      </c>
      <c r="Q118" s="279">
        <f t="shared" si="20"/>
        <v>0</v>
      </c>
      <c r="R118" s="515">
        <f>(R88*$C118+R89)*R$128*$W118</f>
        <v>0</v>
      </c>
      <c r="S118" s="515">
        <f>(S88*$C118+S89)*S$128*$W118</f>
        <v>0</v>
      </c>
      <c r="T118" s="279">
        <f t="shared" si="21"/>
        <v>0</v>
      </c>
      <c r="U118" s="515">
        <f>(U88*$C118+U89)*U$128*$W118</f>
        <v>0</v>
      </c>
      <c r="V118" s="516">
        <f>(V88*$C118+V89)*V$128*$W118</f>
        <v>0</v>
      </c>
      <c r="W118" s="173">
        <f>IF(AND($C$116&gt;0,AGL_An2Hiv=3),$X$113,0)</f>
        <v>0</v>
      </c>
    </row>
    <row r="119" spans="2:28" ht="13.5" thickTop="1" x14ac:dyDescent="0.2">
      <c r="B119" s="105" t="s">
        <v>264</v>
      </c>
      <c r="C119" s="517">
        <f>AGL_MoHeAn3</f>
        <v>6</v>
      </c>
      <c r="D119" s="55" t="s">
        <v>258</v>
      </c>
      <c r="E119" s="283"/>
      <c r="F119" s="441"/>
      <c r="G119" s="441"/>
      <c r="H119" s="286"/>
      <c r="I119" s="287"/>
      <c r="J119" s="287"/>
      <c r="K119" s="286"/>
      <c r="L119" s="287"/>
      <c r="M119" s="442"/>
      <c r="N119" s="253">
        <f t="shared" si="19"/>
        <v>0</v>
      </c>
      <c r="O119" s="518">
        <f>(O90*$C119+O91)*O$128*$W119</f>
        <v>0</v>
      </c>
      <c r="P119" s="518">
        <f>(P90*$C119+P91)*P$128*$W119</f>
        <v>0</v>
      </c>
      <c r="Q119" s="210">
        <f t="shared" si="20"/>
        <v>0</v>
      </c>
      <c r="R119" s="519">
        <f>(R90*$C119+R91)*R$128*$W119</f>
        <v>0</v>
      </c>
      <c r="S119" s="519">
        <f>(S90*$C119+S91)*S$128*$W119</f>
        <v>0</v>
      </c>
      <c r="T119" s="210">
        <f t="shared" si="21"/>
        <v>0</v>
      </c>
      <c r="U119" s="519">
        <f>(U90*$C119+U91)*U$128*$W119</f>
        <v>0</v>
      </c>
      <c r="V119" s="520">
        <f>(V90*$C119+V91)*V$128*$W119</f>
        <v>0</v>
      </c>
      <c r="W119" s="173">
        <f>IF(AND($C$119&gt;0,AGL_An3TarHiv=1),$X$119,0)</f>
        <v>1</v>
      </c>
      <c r="X119" s="855">
        <f>IF(VL_NbGenAn3&gt;0,1,0)</f>
        <v>1</v>
      </c>
      <c r="Y119" s="851" t="s">
        <v>396</v>
      </c>
      <c r="Z119" s="851"/>
      <c r="AA119" s="851"/>
      <c r="AB119" s="851"/>
    </row>
    <row r="120" spans="2:28" x14ac:dyDescent="0.2">
      <c r="B120" s="125">
        <v>3</v>
      </c>
      <c r="C120" s="459">
        <f>C$119</f>
        <v>6</v>
      </c>
      <c r="D120" s="133" t="s">
        <v>276</v>
      </c>
      <c r="E120" s="327"/>
      <c r="F120" s="444"/>
      <c r="G120" s="444"/>
      <c r="H120" s="445"/>
      <c r="I120" s="329"/>
      <c r="J120" s="329"/>
      <c r="K120" s="445"/>
      <c r="L120" s="329"/>
      <c r="M120" s="446"/>
      <c r="N120" s="278">
        <f t="shared" si="19"/>
        <v>0</v>
      </c>
      <c r="O120" s="514">
        <f>(O92*$C120+O93)*O$128*$W120</f>
        <v>0</v>
      </c>
      <c r="P120" s="514">
        <f>(P92*$C120+P93)*P$128*$W120</f>
        <v>0</v>
      </c>
      <c r="Q120" s="279">
        <f t="shared" si="20"/>
        <v>0</v>
      </c>
      <c r="R120" s="515">
        <f>(R92*$C120+R93)*R$128*$W120</f>
        <v>0</v>
      </c>
      <c r="S120" s="515">
        <f>(S92*$C120+S93)*S$128*$W120</f>
        <v>0</v>
      </c>
      <c r="T120" s="279">
        <f t="shared" si="21"/>
        <v>0</v>
      </c>
      <c r="U120" s="515">
        <f>(U92*$C120+U93)*U$128*$W120</f>
        <v>0</v>
      </c>
      <c r="V120" s="516">
        <f>(V92*$C120+V93)*V$128*$W120</f>
        <v>0</v>
      </c>
      <c r="W120" s="173">
        <f>IF(AND($C$119&gt;0,AGL_An3TarHiv=2),$X$119,0)</f>
        <v>0</v>
      </c>
    </row>
    <row r="121" spans="2:28" x14ac:dyDescent="0.2">
      <c r="B121" s="125" t="s">
        <v>288</v>
      </c>
      <c r="C121" s="459">
        <f>C$119</f>
        <v>6</v>
      </c>
      <c r="D121" s="133" t="s">
        <v>277</v>
      </c>
      <c r="E121" s="327"/>
      <c r="F121" s="444"/>
      <c r="G121" s="444"/>
      <c r="H121" s="445"/>
      <c r="I121" s="329"/>
      <c r="J121" s="329"/>
      <c r="K121" s="445"/>
      <c r="L121" s="329"/>
      <c r="M121" s="446"/>
      <c r="N121" s="278">
        <f t="shared" si="19"/>
        <v>0</v>
      </c>
      <c r="O121" s="514">
        <f>(O94*$C121+O95)*O$128*$W121</f>
        <v>0</v>
      </c>
      <c r="P121" s="514">
        <f>(P94*$C121+P95)*P$128*$W121</f>
        <v>0</v>
      </c>
      <c r="Q121" s="279">
        <f t="shared" si="20"/>
        <v>0</v>
      </c>
      <c r="R121" s="515">
        <f>(R94*$C121+R95)*R$128*$W121</f>
        <v>0</v>
      </c>
      <c r="S121" s="515">
        <f>(S94*$C121+S95)*S$128*$W121</f>
        <v>0</v>
      </c>
      <c r="T121" s="279">
        <f>V121-U121</f>
        <v>0</v>
      </c>
      <c r="U121" s="515">
        <f>(U94*$C121+U95)*U$128*$W121</f>
        <v>0</v>
      </c>
      <c r="V121" s="516">
        <f>(V94*$C121+V95)*V$128*$W121</f>
        <v>0</v>
      </c>
      <c r="W121" s="173">
        <f>IF(AND($C$119&gt;0,AGL_An3TarHiv=3),$X$119,0)</f>
        <v>0</v>
      </c>
    </row>
    <row r="122" spans="2:28" ht="3" customHeight="1" x14ac:dyDescent="0.2">
      <c r="B122" s="106"/>
      <c r="C122" s="429"/>
      <c r="D122" s="247"/>
      <c r="E122" s="490">
        <f t="shared" ref="E122:M122" si="28">E63*E$128*$W122*$X122</f>
        <v>0</v>
      </c>
      <c r="F122" s="247">
        <f t="shared" si="28"/>
        <v>0</v>
      </c>
      <c r="G122" s="247">
        <f t="shared" si="28"/>
        <v>0</v>
      </c>
      <c r="H122" s="247">
        <f t="shared" si="28"/>
        <v>0</v>
      </c>
      <c r="I122" s="247">
        <f t="shared" si="28"/>
        <v>0</v>
      </c>
      <c r="J122" s="247">
        <f t="shared" si="28"/>
        <v>0</v>
      </c>
      <c r="K122" s="246">
        <f t="shared" si="28"/>
        <v>0</v>
      </c>
      <c r="L122" s="247">
        <f t="shared" si="28"/>
        <v>0</v>
      </c>
      <c r="M122" s="491">
        <f t="shared" si="28"/>
        <v>0</v>
      </c>
      <c r="N122" s="247"/>
      <c r="O122" s="247"/>
      <c r="P122" s="247"/>
      <c r="Q122" s="247"/>
      <c r="R122" s="247"/>
      <c r="S122" s="247"/>
      <c r="T122" s="246"/>
      <c r="U122" s="247"/>
      <c r="V122" s="491"/>
      <c r="W122" s="172"/>
    </row>
    <row r="123" spans="2:28" x14ac:dyDescent="0.2">
      <c r="B123" s="454" t="s">
        <v>264</v>
      </c>
      <c r="C123" s="492" t="s">
        <v>280</v>
      </c>
      <c r="D123" s="493" t="s">
        <v>282</v>
      </c>
      <c r="E123" s="521">
        <f>G123-F123</f>
        <v>0</v>
      </c>
      <c r="F123" s="493">
        <f>F64*F$128*$W123*$X123</f>
        <v>0</v>
      </c>
      <c r="G123" s="899">
        <f>G64*G$128*$W123*$X123</f>
        <v>0</v>
      </c>
      <c r="H123" s="522">
        <f>J123-I123</f>
        <v>0</v>
      </c>
      <c r="I123" s="901">
        <f>I64*I$128*$W123*$X123</f>
        <v>0</v>
      </c>
      <c r="J123" s="901">
        <f>J64*J$128*$W123*$X123</f>
        <v>0</v>
      </c>
      <c r="K123" s="522">
        <f>M123-L123</f>
        <v>0</v>
      </c>
      <c r="L123" s="901">
        <f>L64*L$128*$W123*$X123</f>
        <v>0</v>
      </c>
      <c r="M123" s="902">
        <f>M64*M$128*$W123*$X123</f>
        <v>0</v>
      </c>
      <c r="N123" s="455"/>
      <c r="O123" s="455"/>
      <c r="P123" s="455"/>
      <c r="Q123" s="455"/>
      <c r="R123" s="455"/>
      <c r="S123" s="455"/>
      <c r="T123" s="633"/>
      <c r="U123" s="455"/>
      <c r="V123" s="456"/>
      <c r="W123" s="173">
        <f>IF(AND($AA$125=1,AGL_An3Pre=2),$X$119,0)</f>
        <v>0</v>
      </c>
      <c r="X123" s="50">
        <f>IF($Z$125=0,0,$Z$125-24)</f>
        <v>6</v>
      </c>
      <c r="Z123" s="3442" t="s">
        <v>287</v>
      </c>
      <c r="AA123" s="3443"/>
      <c r="AB123" s="3444"/>
    </row>
    <row r="124" spans="2:28" x14ac:dyDescent="0.2">
      <c r="B124" s="125">
        <v>3</v>
      </c>
      <c r="C124" s="500" t="s">
        <v>281</v>
      </c>
      <c r="D124" s="186" t="s">
        <v>283</v>
      </c>
      <c r="E124" s="523">
        <f>G124-F124</f>
        <v>0</v>
      </c>
      <c r="F124" s="186">
        <f>F65*F$128*$W124*$X124</f>
        <v>0</v>
      </c>
      <c r="G124" s="904">
        <f>G65*G$128*$W124*$X124</f>
        <v>0</v>
      </c>
      <c r="H124" s="524">
        <f>J124-I124</f>
        <v>0</v>
      </c>
      <c r="I124" s="187">
        <f>I65*I$128*$W124*$X124</f>
        <v>0</v>
      </c>
      <c r="J124" s="187">
        <f>J65*J$128*$W124*$X124</f>
        <v>0</v>
      </c>
      <c r="K124" s="524">
        <f>M124-L124</f>
        <v>0</v>
      </c>
      <c r="L124" s="187">
        <f>L65*L$128*$W124*$X124</f>
        <v>0</v>
      </c>
      <c r="M124" s="906">
        <f>M65*M$128*$W124*$X124</f>
        <v>0</v>
      </c>
      <c r="N124" s="457"/>
      <c r="O124" s="457"/>
      <c r="P124" s="457"/>
      <c r="Q124" s="457"/>
      <c r="R124" s="457"/>
      <c r="S124" s="457"/>
      <c r="T124" s="634"/>
      <c r="U124" s="457"/>
      <c r="V124" s="458"/>
      <c r="W124" s="173">
        <f>IF(AND($AA$125=1,AGL_An3Pre=1),$X$119,0)</f>
        <v>0</v>
      </c>
      <c r="X124" s="177">
        <f>IF($Z$125=0,0,$Z$125-24)</f>
        <v>6</v>
      </c>
      <c r="Z124" s="859" t="s">
        <v>286</v>
      </c>
      <c r="AA124" s="860" t="s">
        <v>281</v>
      </c>
      <c r="AB124" s="861" t="s">
        <v>284</v>
      </c>
    </row>
    <row r="125" spans="2:28" x14ac:dyDescent="0.2">
      <c r="B125" s="125"/>
      <c r="C125" s="459" t="s">
        <v>280</v>
      </c>
      <c r="D125" s="133" t="s">
        <v>282</v>
      </c>
      <c r="E125" s="525">
        <f>G125-F125</f>
        <v>0</v>
      </c>
      <c r="F125" s="133">
        <f>F66*F$128*$W125</f>
        <v>0</v>
      </c>
      <c r="G125" s="135">
        <f>G66*G$128*$W125</f>
        <v>0</v>
      </c>
      <c r="H125" s="436">
        <f>J125-I125</f>
        <v>0</v>
      </c>
      <c r="I125" s="136">
        <f>I66*I$128*$W125</f>
        <v>0</v>
      </c>
      <c r="J125" s="136">
        <f>J66*J$128*$W125</f>
        <v>0</v>
      </c>
      <c r="K125" s="436">
        <f>M125-L125</f>
        <v>0</v>
      </c>
      <c r="L125" s="136">
        <f>L66*L$128*$W125</f>
        <v>0</v>
      </c>
      <c r="M125" s="137">
        <f>M66*M$128*$W125</f>
        <v>0</v>
      </c>
      <c r="N125" s="460"/>
      <c r="O125" s="460"/>
      <c r="P125" s="460"/>
      <c r="Q125" s="460"/>
      <c r="R125" s="460"/>
      <c r="S125" s="460"/>
      <c r="T125" s="635"/>
      <c r="U125" s="460"/>
      <c r="V125" s="461"/>
      <c r="W125" s="173">
        <f>IF(AND($AB$125=1,AGL_An3Pre=2),$X$119,0)</f>
        <v>0</v>
      </c>
      <c r="X125" s="176"/>
      <c r="Z125" s="862">
        <f>IF(AND(VL_TypeVela=1,NOT(ISBLANK(VL_AgeVelPre))),VL_AgeVelPre,0)</f>
        <v>30</v>
      </c>
      <c r="AA125" s="863">
        <f>IF(AND(NOT(ISBLANK(VL_ClaVelPre)),VL_ClaVelPre=1),1,0)</f>
        <v>0</v>
      </c>
      <c r="AB125" s="864">
        <f>IF(AND(NOT(ISBLANK(VL_ClaVelPre)),VL_ClaVelPre=2),1,0)</f>
        <v>1</v>
      </c>
    </row>
    <row r="126" spans="2:28" ht="13.5" thickBot="1" x14ac:dyDescent="0.25">
      <c r="B126" s="462"/>
      <c r="C126" s="76" t="s">
        <v>284</v>
      </c>
      <c r="D126" s="463" t="s">
        <v>283</v>
      </c>
      <c r="E126" s="526">
        <f>G126-F126</f>
        <v>11</v>
      </c>
      <c r="F126" s="75">
        <f>F67*F$128*$W126</f>
        <v>18</v>
      </c>
      <c r="G126" s="437">
        <f>G67*G$128*$W126</f>
        <v>29</v>
      </c>
      <c r="H126" s="439">
        <f>J126-I126</f>
        <v>6</v>
      </c>
      <c r="I126" s="207">
        <f>I67*I$128*$W126</f>
        <v>6</v>
      </c>
      <c r="J126" s="207">
        <f>J67*J$128*$W126</f>
        <v>12</v>
      </c>
      <c r="K126" s="439">
        <f>M126-L126</f>
        <v>0</v>
      </c>
      <c r="L126" s="207">
        <f>L67*L$128*$W126</f>
        <v>52</v>
      </c>
      <c r="M126" s="209">
        <f>M67*M$128*$W126</f>
        <v>52</v>
      </c>
      <c r="N126" s="464"/>
      <c r="O126" s="464"/>
      <c r="P126" s="464"/>
      <c r="Q126" s="464"/>
      <c r="R126" s="464"/>
      <c r="S126" s="464"/>
      <c r="T126" s="636"/>
      <c r="U126" s="464"/>
      <c r="V126" s="465"/>
      <c r="W126" s="173">
        <f>IF(AND($AB$125=1,AGL_An3Pre=1),$X$119,0)</f>
        <v>1</v>
      </c>
    </row>
    <row r="127" spans="2:28" ht="3" customHeight="1" thickTop="1" x14ac:dyDescent="0.2">
      <c r="N127" s="162"/>
    </row>
    <row r="128" spans="2:28" x14ac:dyDescent="0.2">
      <c r="B128" s="527"/>
      <c r="C128" s="528"/>
      <c r="D128" s="529" t="s">
        <v>394</v>
      </c>
      <c r="E128" s="173">
        <f>IF(VL_TypeVela=1,1,0)</f>
        <v>1</v>
      </c>
      <c r="F128" s="173">
        <f>$E128</f>
        <v>1</v>
      </c>
      <c r="G128" s="173">
        <f t="shared" ref="G128:M128" si="29">$E128</f>
        <v>1</v>
      </c>
      <c r="H128" s="173">
        <f t="shared" si="29"/>
        <v>1</v>
      </c>
      <c r="I128" s="173">
        <f t="shared" si="29"/>
        <v>1</v>
      </c>
      <c r="J128" s="173">
        <f t="shared" si="29"/>
        <v>1</v>
      </c>
      <c r="K128" s="173">
        <f t="shared" si="29"/>
        <v>1</v>
      </c>
      <c r="L128" s="173">
        <f t="shared" si="29"/>
        <v>1</v>
      </c>
      <c r="M128" s="173">
        <f t="shared" si="29"/>
        <v>1</v>
      </c>
      <c r="N128" s="637">
        <f>IF(VL_TypeVela=2,1,0)</f>
        <v>0</v>
      </c>
      <c r="O128" s="173">
        <f t="shared" ref="O128:V128" si="30">$N128</f>
        <v>0</v>
      </c>
      <c r="P128" s="173">
        <f t="shared" si="30"/>
        <v>0</v>
      </c>
      <c r="Q128" s="173">
        <f t="shared" si="30"/>
        <v>0</v>
      </c>
      <c r="R128" s="173">
        <f t="shared" si="30"/>
        <v>0</v>
      </c>
      <c r="S128" s="173">
        <f t="shared" si="30"/>
        <v>0</v>
      </c>
      <c r="T128" s="173">
        <f t="shared" si="30"/>
        <v>0</v>
      </c>
      <c r="U128" s="173">
        <f t="shared" si="30"/>
        <v>0</v>
      </c>
      <c r="V128" s="173">
        <f t="shared" si="30"/>
        <v>0</v>
      </c>
    </row>
    <row r="129" spans="2:22" x14ac:dyDescent="0.2">
      <c r="B129" s="68"/>
      <c r="C129" s="530"/>
    </row>
    <row r="131" spans="2:22" x14ac:dyDescent="0.2">
      <c r="P131" s="46"/>
      <c r="S131" s="46"/>
      <c r="U131" s="189"/>
      <c r="V131" s="33" t="s">
        <v>48</v>
      </c>
    </row>
    <row r="132" spans="2:22" x14ac:dyDescent="0.2">
      <c r="N132" s="3429" t="s">
        <v>256</v>
      </c>
      <c r="O132" s="3430"/>
      <c r="P132" s="3431"/>
      <c r="Q132" s="3429" t="s">
        <v>257</v>
      </c>
      <c r="R132" s="3430"/>
      <c r="S132" s="3431"/>
      <c r="T132" s="3429" t="s">
        <v>756</v>
      </c>
      <c r="U132" s="3430"/>
      <c r="V132" s="3431"/>
    </row>
    <row r="133" spans="2:22" x14ac:dyDescent="0.2">
      <c r="C133" s="188"/>
      <c r="N133" s="35" t="s">
        <v>249</v>
      </c>
      <c r="O133" s="36" t="s">
        <v>247</v>
      </c>
      <c r="P133" s="36"/>
      <c r="Q133" s="35" t="s">
        <v>249</v>
      </c>
      <c r="R133" s="36" t="s">
        <v>247</v>
      </c>
      <c r="S133" s="37"/>
      <c r="T133" s="35" t="s">
        <v>249</v>
      </c>
      <c r="U133" s="36" t="s">
        <v>247</v>
      </c>
      <c r="V133" s="37"/>
    </row>
    <row r="134" spans="2:22" x14ac:dyDescent="0.2">
      <c r="C134" s="188"/>
      <c r="E134" s="851"/>
      <c r="F134" s="851"/>
      <c r="G134" s="851"/>
      <c r="H134" s="851"/>
      <c r="I134" s="851"/>
      <c r="J134" s="851"/>
      <c r="K134" s="852" t="s">
        <v>292</v>
      </c>
      <c r="N134" s="35" t="s">
        <v>248</v>
      </c>
      <c r="O134" s="36" t="s">
        <v>246</v>
      </c>
      <c r="P134" s="36" t="s">
        <v>244</v>
      </c>
      <c r="Q134" s="35" t="s">
        <v>248</v>
      </c>
      <c r="R134" s="36" t="s">
        <v>246</v>
      </c>
      <c r="S134" s="37" t="s">
        <v>244</v>
      </c>
      <c r="T134" s="35" t="s">
        <v>248</v>
      </c>
      <c r="U134" s="36" t="s">
        <v>246</v>
      </c>
      <c r="V134" s="37" t="s">
        <v>244</v>
      </c>
    </row>
    <row r="135" spans="2:22" x14ac:dyDescent="0.2">
      <c r="C135" s="188"/>
      <c r="K135" s="856">
        <f>VL_NbGenAn1</f>
        <v>16</v>
      </c>
      <c r="L135" s="226"/>
      <c r="M135" s="425" t="s">
        <v>172</v>
      </c>
      <c r="N135" s="531">
        <f t="shared" ref="N135:V135" si="31">SUM(E110:E112,N110:N112)</f>
        <v>17</v>
      </c>
      <c r="O135" s="364">
        <f t="shared" si="31"/>
        <v>8.0000000000000018</v>
      </c>
      <c r="P135" s="416">
        <f t="shared" si="31"/>
        <v>25</v>
      </c>
      <c r="Q135" s="311">
        <f t="shared" si="31"/>
        <v>3.4999999999999996</v>
      </c>
      <c r="R135" s="312">
        <f t="shared" si="31"/>
        <v>2.5000000000000004</v>
      </c>
      <c r="S135" s="417">
        <f t="shared" si="31"/>
        <v>6</v>
      </c>
      <c r="T135" s="311">
        <f t="shared" si="31"/>
        <v>10</v>
      </c>
      <c r="U135" s="312">
        <f t="shared" si="31"/>
        <v>20</v>
      </c>
      <c r="V135" s="417">
        <f t="shared" si="31"/>
        <v>30</v>
      </c>
    </row>
    <row r="136" spans="2:22" x14ac:dyDescent="0.2">
      <c r="C136" s="188"/>
      <c r="K136" s="857">
        <f>VL_NbGenAn2</f>
        <v>16</v>
      </c>
      <c r="L136" s="233"/>
      <c r="M136" s="426" t="s">
        <v>173</v>
      </c>
      <c r="N136" s="344">
        <f t="shared" ref="N136:V136" si="32">SUM(E113:E118,N113:N118)</f>
        <v>15.333333333333336</v>
      </c>
      <c r="O136" s="345">
        <f t="shared" si="32"/>
        <v>35</v>
      </c>
      <c r="P136" s="418">
        <f t="shared" si="32"/>
        <v>50.333333333333336</v>
      </c>
      <c r="Q136" s="316">
        <f t="shared" si="32"/>
        <v>8.3333333333333321</v>
      </c>
      <c r="R136" s="185">
        <f t="shared" si="32"/>
        <v>11.166666666666668</v>
      </c>
      <c r="S136" s="419">
        <f t="shared" si="32"/>
        <v>19.5</v>
      </c>
      <c r="T136" s="316">
        <f t="shared" si="32"/>
        <v>26.000000000000014</v>
      </c>
      <c r="U136" s="185">
        <f t="shared" si="32"/>
        <v>40.333333333333329</v>
      </c>
      <c r="V136" s="419">
        <f t="shared" si="32"/>
        <v>66.333333333333343</v>
      </c>
    </row>
    <row r="137" spans="2:22" x14ac:dyDescent="0.2">
      <c r="K137" s="858">
        <f>VL_NbGenAn3</f>
        <v>15</v>
      </c>
      <c r="L137" s="239"/>
      <c r="M137" s="427" t="s">
        <v>174</v>
      </c>
      <c r="N137" s="532">
        <f t="shared" ref="N137:V137" si="33">SUM(E119:E126,N119:N126)</f>
        <v>11</v>
      </c>
      <c r="O137" s="421">
        <f t="shared" si="33"/>
        <v>18</v>
      </c>
      <c r="P137" s="638">
        <f t="shared" si="33"/>
        <v>29</v>
      </c>
      <c r="Q137" s="423">
        <f t="shared" si="33"/>
        <v>6</v>
      </c>
      <c r="R137" s="405">
        <f t="shared" si="33"/>
        <v>6</v>
      </c>
      <c r="S137" s="424">
        <f t="shared" si="33"/>
        <v>12</v>
      </c>
      <c r="T137" s="423">
        <f t="shared" si="33"/>
        <v>0</v>
      </c>
      <c r="U137" s="405">
        <f t="shared" si="33"/>
        <v>52</v>
      </c>
      <c r="V137" s="424">
        <f t="shared" si="33"/>
        <v>52</v>
      </c>
    </row>
  </sheetData>
  <sheetProtection algorithmName="SHA-512" hashValue="1XHjGSJTihPTqgpLOG12LGQI9uY/H13wX66wF3bALJI1zJAgTFq9xhpNx1oVeSVEfLAmYxr20nDI1T9+N05JSg==" saltValue="s/uuSDivFidVwAIYP55Vww==" spinCount="100000" sheet="1" objects="1" scenarios="1"/>
  <mergeCells count="37">
    <mergeCell ref="Z123:AB123"/>
    <mergeCell ref="E72:M72"/>
    <mergeCell ref="N72:V72"/>
    <mergeCell ref="E73:M73"/>
    <mergeCell ref="N73:V73"/>
    <mergeCell ref="E74:G74"/>
    <mergeCell ref="H74:J74"/>
    <mergeCell ref="H107:J107"/>
    <mergeCell ref="N107:P107"/>
    <mergeCell ref="E105:M105"/>
    <mergeCell ref="N105:V105"/>
    <mergeCell ref="E106:M106"/>
    <mergeCell ref="N106:V106"/>
    <mergeCell ref="E107:G107"/>
    <mergeCell ref="N74:P74"/>
    <mergeCell ref="Q74:S74"/>
    <mergeCell ref="H27:J27"/>
    <mergeCell ref="E25:M25"/>
    <mergeCell ref="E26:M26"/>
    <mergeCell ref="E27:G27"/>
    <mergeCell ref="T14:V14"/>
    <mergeCell ref="N14:P14"/>
    <mergeCell ref="Q14:S14"/>
    <mergeCell ref="N25:V25"/>
    <mergeCell ref="N26:V26"/>
    <mergeCell ref="N27:P27"/>
    <mergeCell ref="Q27:S27"/>
    <mergeCell ref="T132:V132"/>
    <mergeCell ref="K27:M27"/>
    <mergeCell ref="K74:M74"/>
    <mergeCell ref="K107:M107"/>
    <mergeCell ref="T27:V27"/>
    <mergeCell ref="T74:V74"/>
    <mergeCell ref="T107:V107"/>
    <mergeCell ref="N132:P132"/>
    <mergeCell ref="Q132:S132"/>
    <mergeCell ref="Q107:S107"/>
  </mergeCells>
  <phoneticPr fontId="14" type="noConversion"/>
  <conditionalFormatting sqref="R122:S126 R110:S115 O122:P126 K110:K126 O110:P115 I113:J115 N110:N126 F113:G115 I110:J111 F125:G126 C125:D126 I125:J126 F110:G111 I119:J122 F119:G122 E110:E126 C110:D122 H110:H126 L113:M115 L110:M111 L125:M126 L119:M122 Q110:Q126 U122:V126 U110:V115 T110:T126">
    <cfRule type="expression" dxfId="9" priority="1" stopIfTrue="1">
      <formula>IF($W110=1,TRUE,FALSE)</formula>
    </cfRule>
  </conditionalFormatting>
  <conditionalFormatting sqref="F112:G112 F116:G118 I112:J112 I116:J118 O116:P121 R116:S121 L112:M112 L116:M118 U116:V121">
    <cfRule type="expression" dxfId="8" priority="2" stopIfTrue="1">
      <formula>IF($W112=1,TRUE,FALSE)</formula>
    </cfRule>
  </conditionalFormatting>
  <conditionalFormatting sqref="C123:D124 F123:G124 I123:J124 L123:M124">
    <cfRule type="expression" dxfId="7" priority="3" stopIfTrue="1">
      <formula>IF($W123=1,TRUE,FALSE)</formula>
    </cfRule>
  </conditionalFormatting>
  <conditionalFormatting sqref="Q135:R137 Q17:R20 N135:O137 T135:U137 N17:O20 T17:U20">
    <cfRule type="expression" dxfId="6" priority="4" stopIfTrue="1">
      <formula>IF(ISERROR(N17),TRUE,FALSE)</formula>
    </cfRule>
  </conditionalFormatting>
  <pageMargins left="0.78740157480314965" right="0.78740157480314965" top="0.6692913385826772" bottom="0.48" header="0.47244094488188981" footer="0.47244094488188981"/>
  <pageSetup paperSize="9" scale="58" fitToHeight="2"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pageSetUpPr fitToPage="1"/>
  </sheetPr>
  <dimension ref="A1:AL137"/>
  <sheetViews>
    <sheetView topLeftCell="A9" workbookViewId="0"/>
  </sheetViews>
  <sheetFormatPr baseColWidth="10" defaultColWidth="11.42578125" defaultRowHeight="12.75" x14ac:dyDescent="0.2"/>
  <cols>
    <col min="1" max="1" width="11.28515625" style="32" customWidth="1"/>
    <col min="2" max="2" width="4" style="32" customWidth="1"/>
    <col min="3" max="3" width="8.28515625" style="32" customWidth="1"/>
    <col min="4" max="4" width="6.5703125" style="32" customWidth="1"/>
    <col min="5" max="5" width="6.140625" style="32" customWidth="1"/>
    <col min="6" max="6" width="10" style="32" customWidth="1"/>
    <col min="7" max="7" width="5" style="32" customWidth="1"/>
    <col min="8" max="8" width="6.140625" style="32" customWidth="1"/>
    <col min="9" max="9" width="10" style="32" customWidth="1"/>
    <col min="10" max="10" width="5" style="32" customWidth="1"/>
    <col min="11" max="11" width="6.140625" style="32" customWidth="1"/>
    <col min="12" max="12" width="10" style="32" customWidth="1"/>
    <col min="13" max="13" width="5.570312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6.140625" style="32" customWidth="1"/>
    <col min="24" max="24" width="10" style="32" customWidth="1"/>
    <col min="25" max="25" width="5" style="32" customWidth="1"/>
    <col min="26" max="26" width="6.140625" style="32" customWidth="1"/>
    <col min="27" max="27" width="10" style="32" customWidth="1"/>
    <col min="28" max="28" width="5" style="32" customWidth="1"/>
    <col min="29" max="29" width="6.140625" style="32" customWidth="1"/>
    <col min="30" max="30" width="10" style="32" customWidth="1"/>
    <col min="31" max="31" width="5.5703125" style="32" customWidth="1"/>
    <col min="32" max="32" width="5.7109375" style="32" customWidth="1"/>
    <col min="33" max="33" width="9.28515625" style="32" customWidth="1"/>
    <col min="34" max="16384" width="11.42578125" style="32"/>
  </cols>
  <sheetData>
    <row r="1" spans="5:23" hidden="1" x14ac:dyDescent="0.2"/>
    <row r="2" spans="5:23" hidden="1" x14ac:dyDescent="0.2"/>
    <row r="3" spans="5:23" hidden="1" x14ac:dyDescent="0.2"/>
    <row r="4" spans="5:23" hidden="1" x14ac:dyDescent="0.2"/>
    <row r="5" spans="5:23" hidden="1" x14ac:dyDescent="0.2"/>
    <row r="6" spans="5:23" hidden="1" x14ac:dyDescent="0.2"/>
    <row r="7" spans="5:23" hidden="1" x14ac:dyDescent="0.2"/>
    <row r="8" spans="5:23" hidden="1" x14ac:dyDescent="0.2"/>
    <row r="9" spans="5:23" ht="13.5" thickTop="1" x14ac:dyDescent="0.2">
      <c r="E9" s="42"/>
      <c r="F9" s="43"/>
      <c r="G9" s="43"/>
      <c r="H9" s="43"/>
      <c r="I9" s="43"/>
      <c r="J9" s="43"/>
      <c r="K9" s="43"/>
      <c r="L9" s="43"/>
      <c r="M9" s="43"/>
      <c r="N9" s="43"/>
      <c r="O9" s="43"/>
      <c r="P9" s="43"/>
      <c r="Q9" s="43"/>
      <c r="R9" s="43"/>
      <c r="S9" s="43"/>
      <c r="T9" s="43"/>
      <c r="U9" s="43"/>
      <c r="V9" s="43"/>
      <c r="W9" s="44"/>
    </row>
    <row r="10" spans="5:23" x14ac:dyDescent="0.2">
      <c r="E10" s="45"/>
      <c r="F10" s="46"/>
      <c r="G10" s="46"/>
      <c r="H10" s="46"/>
      <c r="I10" s="46"/>
      <c r="J10" s="46"/>
      <c r="K10" s="46"/>
      <c r="L10" s="46"/>
      <c r="M10" s="46"/>
      <c r="N10" s="46"/>
      <c r="O10" s="46"/>
      <c r="P10" s="46"/>
      <c r="Q10" s="46"/>
      <c r="R10" s="46"/>
      <c r="S10" s="46"/>
      <c r="T10" s="46"/>
      <c r="U10" s="47"/>
      <c r="V10" s="48" t="s">
        <v>115</v>
      </c>
      <c r="W10" s="49"/>
    </row>
    <row r="11" spans="5:23" x14ac:dyDescent="0.2">
      <c r="E11" s="45"/>
      <c r="F11" s="46"/>
      <c r="G11" s="46"/>
      <c r="H11" s="46"/>
      <c r="I11" s="46"/>
      <c r="J11" s="46"/>
      <c r="K11" s="46"/>
      <c r="L11" s="46"/>
      <c r="M11" s="46"/>
      <c r="N11" s="3429" t="s">
        <v>450</v>
      </c>
      <c r="O11" s="3430"/>
      <c r="P11" s="3430"/>
      <c r="Q11" s="3429" t="s">
        <v>451</v>
      </c>
      <c r="R11" s="3430"/>
      <c r="S11" s="3431"/>
      <c r="T11" s="3429" t="s">
        <v>755</v>
      </c>
      <c r="U11" s="3430"/>
      <c r="V11" s="3431"/>
      <c r="W11" s="49"/>
    </row>
    <row r="12" spans="5:23" x14ac:dyDescent="0.2">
      <c r="E12" s="45"/>
      <c r="F12" s="46"/>
      <c r="G12" s="46"/>
      <c r="H12" s="46"/>
      <c r="I12" s="46"/>
      <c r="J12" s="46"/>
      <c r="K12" s="46"/>
      <c r="L12" s="46"/>
      <c r="M12" s="46"/>
      <c r="N12" s="35" t="s">
        <v>249</v>
      </c>
      <c r="O12" s="36" t="s">
        <v>247</v>
      </c>
      <c r="P12" s="36"/>
      <c r="Q12" s="35" t="s">
        <v>249</v>
      </c>
      <c r="R12" s="36" t="s">
        <v>247</v>
      </c>
      <c r="S12" s="37"/>
      <c r="T12" s="35" t="s">
        <v>249</v>
      </c>
      <c r="U12" s="36" t="s">
        <v>247</v>
      </c>
      <c r="V12" s="37"/>
      <c r="W12" s="49"/>
    </row>
    <row r="13" spans="5:23" x14ac:dyDescent="0.2">
      <c r="E13" s="45"/>
      <c r="F13" s="46"/>
      <c r="G13" s="46"/>
      <c r="H13" s="46"/>
      <c r="I13" s="46"/>
      <c r="J13" s="46"/>
      <c r="K13" s="46"/>
      <c r="L13" s="46"/>
      <c r="M13" s="46"/>
      <c r="N13" s="35" t="s">
        <v>248</v>
      </c>
      <c r="O13" s="36" t="s">
        <v>246</v>
      </c>
      <c r="P13" s="36" t="s">
        <v>244</v>
      </c>
      <c r="Q13" s="35" t="s">
        <v>248</v>
      </c>
      <c r="R13" s="36" t="s">
        <v>246</v>
      </c>
      <c r="S13" s="37" t="s">
        <v>244</v>
      </c>
      <c r="T13" s="35" t="s">
        <v>248</v>
      </c>
      <c r="U13" s="36" t="s">
        <v>246</v>
      </c>
      <c r="V13" s="37" t="s">
        <v>244</v>
      </c>
      <c r="W13" s="49"/>
    </row>
    <row r="14" spans="5:23" x14ac:dyDescent="0.2">
      <c r="E14" s="45"/>
      <c r="F14" s="46"/>
      <c r="G14" s="46"/>
      <c r="H14" s="46"/>
      <c r="I14" s="226"/>
      <c r="J14" s="227"/>
      <c r="K14" s="227"/>
      <c r="L14" s="227"/>
      <c r="M14" s="228" t="s">
        <v>379</v>
      </c>
      <c r="N14" s="229">
        <f>N107*$H107</f>
        <v>440.73333333333335</v>
      </c>
      <c r="O14" s="229">
        <f t="shared" ref="O14:V14" si="0">O107*$H107</f>
        <v>1078</v>
      </c>
      <c r="P14" s="230">
        <f t="shared" si="0"/>
        <v>1518.7333333333333</v>
      </c>
      <c r="Q14" s="231">
        <f t="shared" si="0"/>
        <v>404.43333333333334</v>
      </c>
      <c r="R14" s="229">
        <f t="shared" si="0"/>
        <v>335.5</v>
      </c>
      <c r="S14" s="232">
        <f t="shared" si="0"/>
        <v>739.93333333333328</v>
      </c>
      <c r="T14" s="231">
        <f t="shared" si="0"/>
        <v>715</v>
      </c>
      <c r="U14" s="229">
        <f t="shared" si="0"/>
        <v>1738</v>
      </c>
      <c r="V14" s="232">
        <f t="shared" si="0"/>
        <v>2453</v>
      </c>
      <c r="W14" s="49"/>
    </row>
    <row r="15" spans="5:23" x14ac:dyDescent="0.2">
      <c r="E15" s="45"/>
      <c r="F15" s="46"/>
      <c r="G15" s="46"/>
      <c r="H15" s="46"/>
      <c r="I15" s="233"/>
      <c r="J15" s="46"/>
      <c r="K15" s="46"/>
      <c r="L15" s="46"/>
      <c r="M15" s="234" t="s">
        <v>366</v>
      </c>
      <c r="N15" s="235">
        <f>N108*$H108-N114*$H114</f>
        <v>130</v>
      </c>
      <c r="O15" s="235">
        <f t="shared" ref="O15:V15" si="1">O108*$H108-O114*$H114</f>
        <v>100</v>
      </c>
      <c r="P15" s="236">
        <f t="shared" si="1"/>
        <v>230</v>
      </c>
      <c r="Q15" s="237">
        <f t="shared" si="1"/>
        <v>27</v>
      </c>
      <c r="R15" s="235">
        <f t="shared" si="1"/>
        <v>35</v>
      </c>
      <c r="S15" s="238">
        <f t="shared" si="1"/>
        <v>62</v>
      </c>
      <c r="T15" s="237">
        <f t="shared" si="1"/>
        <v>72</v>
      </c>
      <c r="U15" s="235">
        <f t="shared" si="1"/>
        <v>260</v>
      </c>
      <c r="V15" s="238">
        <f t="shared" si="1"/>
        <v>332</v>
      </c>
      <c r="W15" s="49"/>
    </row>
    <row r="16" spans="5:23" x14ac:dyDescent="0.2">
      <c r="E16" s="45"/>
      <c r="F16" s="46"/>
      <c r="G16" s="46"/>
      <c r="H16" s="46"/>
      <c r="I16" s="233"/>
      <c r="J16" s="46"/>
      <c r="K16" s="46"/>
      <c r="L16" s="46"/>
      <c r="M16" s="234" t="s">
        <v>367</v>
      </c>
      <c r="N16" s="235">
        <f t="shared" ref="N16:V16" si="2">N109*$H109</f>
        <v>82.6</v>
      </c>
      <c r="O16" s="235">
        <f>O109*$H109</f>
        <v>168</v>
      </c>
      <c r="P16" s="236">
        <f t="shared" si="2"/>
        <v>250.6</v>
      </c>
      <c r="Q16" s="237">
        <f t="shared" si="2"/>
        <v>52.800000000000004</v>
      </c>
      <c r="R16" s="235">
        <f t="shared" si="2"/>
        <v>53</v>
      </c>
      <c r="S16" s="238">
        <f t="shared" si="2"/>
        <v>105.8</v>
      </c>
      <c r="T16" s="237">
        <f t="shared" si="2"/>
        <v>105</v>
      </c>
      <c r="U16" s="235">
        <f t="shared" si="2"/>
        <v>242</v>
      </c>
      <c r="V16" s="238">
        <f t="shared" si="2"/>
        <v>347</v>
      </c>
      <c r="W16" s="49"/>
    </row>
    <row r="17" spans="1:31" x14ac:dyDescent="0.2">
      <c r="E17" s="45"/>
      <c r="F17" s="46"/>
      <c r="G17" s="46"/>
      <c r="H17" s="46"/>
      <c r="I17" s="233"/>
      <c r="J17" s="46"/>
      <c r="K17" s="46"/>
      <c r="L17" s="46"/>
      <c r="M17" s="234" t="s">
        <v>368</v>
      </c>
      <c r="N17" s="235"/>
      <c r="O17" s="235"/>
      <c r="P17" s="236"/>
      <c r="Q17" s="237"/>
      <c r="R17" s="235"/>
      <c r="S17" s="238"/>
      <c r="T17" s="237"/>
      <c r="U17" s="235"/>
      <c r="V17" s="238"/>
      <c r="W17" s="49"/>
    </row>
    <row r="18" spans="1:31" x14ac:dyDescent="0.2">
      <c r="E18" s="45"/>
      <c r="F18" s="46"/>
      <c r="G18" s="46"/>
      <c r="H18" s="46"/>
      <c r="I18" s="233"/>
      <c r="J18" s="46"/>
      <c r="K18" s="46"/>
      <c r="L18" s="46"/>
      <c r="M18" s="234" t="s">
        <v>372</v>
      </c>
      <c r="N18" s="235">
        <f t="shared" ref="N18:V18" si="3">N111*$H111</f>
        <v>0</v>
      </c>
      <c r="O18" s="235">
        <f t="shared" si="3"/>
        <v>0</v>
      </c>
      <c r="P18" s="236">
        <f t="shared" si="3"/>
        <v>0</v>
      </c>
      <c r="Q18" s="237">
        <f t="shared" si="3"/>
        <v>0</v>
      </c>
      <c r="R18" s="235">
        <f t="shared" si="3"/>
        <v>0</v>
      </c>
      <c r="S18" s="238">
        <f t="shared" si="3"/>
        <v>0</v>
      </c>
      <c r="T18" s="237">
        <f t="shared" si="3"/>
        <v>0</v>
      </c>
      <c r="U18" s="235">
        <f t="shared" si="3"/>
        <v>0</v>
      </c>
      <c r="V18" s="238">
        <f t="shared" si="3"/>
        <v>0</v>
      </c>
      <c r="W18" s="49"/>
    </row>
    <row r="19" spans="1:31" x14ac:dyDescent="0.2">
      <c r="E19" s="45"/>
      <c r="F19" s="46"/>
      <c r="G19" s="46"/>
      <c r="H19" s="46"/>
      <c r="I19" s="239"/>
      <c r="J19" s="240"/>
      <c r="K19" s="240"/>
      <c r="L19" s="240"/>
      <c r="M19" s="241" t="s">
        <v>373</v>
      </c>
      <c r="N19" s="242">
        <f t="shared" ref="N19:V19" si="4">N112*$H112</f>
        <v>110.79999999999998</v>
      </c>
      <c r="O19" s="242">
        <f t="shared" si="4"/>
        <v>236</v>
      </c>
      <c r="P19" s="243">
        <f t="shared" si="4"/>
        <v>346.8</v>
      </c>
      <c r="Q19" s="244">
        <f t="shared" si="4"/>
        <v>64.800000000000011</v>
      </c>
      <c r="R19" s="242">
        <f t="shared" si="4"/>
        <v>78</v>
      </c>
      <c r="S19" s="245">
        <f t="shared" si="4"/>
        <v>142.80000000000001</v>
      </c>
      <c r="T19" s="244">
        <f t="shared" si="4"/>
        <v>142.99999999999994</v>
      </c>
      <c r="U19" s="242">
        <f t="shared" si="4"/>
        <v>338</v>
      </c>
      <c r="V19" s="245">
        <f t="shared" si="4"/>
        <v>480.99999999999994</v>
      </c>
      <c r="W19" s="49"/>
    </row>
    <row r="20" spans="1:31" x14ac:dyDescent="0.2">
      <c r="E20" s="45"/>
      <c r="F20" s="46"/>
      <c r="G20" s="46"/>
      <c r="H20" s="46"/>
      <c r="I20" s="246"/>
      <c r="J20" s="247"/>
      <c r="K20" s="247"/>
      <c r="L20" s="247"/>
      <c r="M20" s="248" t="s">
        <v>244</v>
      </c>
      <c r="N20" s="249">
        <f t="shared" ref="N20:V20" si="5">SUM(N14:N19)</f>
        <v>764.13333333333333</v>
      </c>
      <c r="O20" s="250">
        <f t="shared" si="5"/>
        <v>1582</v>
      </c>
      <c r="P20" s="250">
        <f t="shared" si="5"/>
        <v>2346.1333333333332</v>
      </c>
      <c r="Q20" s="249">
        <f t="shared" si="5"/>
        <v>549.0333333333333</v>
      </c>
      <c r="R20" s="250">
        <f t="shared" si="5"/>
        <v>501.5</v>
      </c>
      <c r="S20" s="251">
        <f t="shared" si="5"/>
        <v>1050.5333333333333</v>
      </c>
      <c r="T20" s="249">
        <f t="shared" si="5"/>
        <v>1035</v>
      </c>
      <c r="U20" s="250">
        <f t="shared" si="5"/>
        <v>2578</v>
      </c>
      <c r="V20" s="251">
        <f t="shared" si="5"/>
        <v>3613</v>
      </c>
      <c r="W20" s="49"/>
    </row>
    <row r="21" spans="1:31" ht="13.5" thickBot="1" x14ac:dyDescent="0.25">
      <c r="E21" s="102"/>
      <c r="F21" s="103"/>
      <c r="G21" s="103"/>
      <c r="H21" s="103"/>
      <c r="I21" s="103"/>
      <c r="J21" s="103"/>
      <c r="K21" s="103"/>
      <c r="L21" s="103"/>
      <c r="M21" s="103"/>
      <c r="N21" s="103"/>
      <c r="O21" s="103"/>
      <c r="P21" s="103"/>
      <c r="Q21" s="103"/>
      <c r="R21" s="103"/>
      <c r="S21" s="103"/>
      <c r="T21" s="103"/>
      <c r="U21" s="103"/>
      <c r="V21" s="103"/>
      <c r="W21" s="104"/>
    </row>
    <row r="22" spans="1:31" ht="13.5" thickTop="1" x14ac:dyDescent="0.2"/>
    <row r="23" spans="1:31" x14ac:dyDescent="0.2">
      <c r="A23" s="14" t="s">
        <v>114</v>
      </c>
    </row>
    <row r="24" spans="1:31" ht="3" customHeight="1" thickBot="1" x14ac:dyDescent="0.25"/>
    <row r="25" spans="1:31" ht="13.5" thickTop="1" x14ac:dyDescent="0.2">
      <c r="E25" s="3435" t="s">
        <v>346</v>
      </c>
      <c r="F25" s="3436"/>
      <c r="G25" s="3436"/>
      <c r="H25" s="3436"/>
      <c r="I25" s="3436"/>
      <c r="J25" s="3436"/>
      <c r="K25" s="3436"/>
      <c r="L25" s="3436"/>
      <c r="M25" s="3437"/>
      <c r="N25" s="3435" t="s">
        <v>347</v>
      </c>
      <c r="O25" s="3436"/>
      <c r="P25" s="3436"/>
      <c r="Q25" s="3436"/>
      <c r="R25" s="3436"/>
      <c r="S25" s="3436"/>
      <c r="T25" s="3436"/>
      <c r="U25" s="3436"/>
      <c r="V25" s="3437"/>
      <c r="W25" s="3435" t="s">
        <v>348</v>
      </c>
      <c r="X25" s="3436"/>
      <c r="Y25" s="3436"/>
      <c r="Z25" s="3436"/>
      <c r="AA25" s="3436"/>
      <c r="AB25" s="3436"/>
      <c r="AC25" s="3436"/>
      <c r="AD25" s="3436"/>
      <c r="AE25" s="3437"/>
    </row>
    <row r="26" spans="1:31" x14ac:dyDescent="0.2">
      <c r="E26" s="3441" t="s">
        <v>256</v>
      </c>
      <c r="F26" s="3430"/>
      <c r="G26" s="3431"/>
      <c r="H26" s="3429" t="s">
        <v>257</v>
      </c>
      <c r="I26" s="3430"/>
      <c r="J26" s="3431"/>
      <c r="K26" s="3430" t="s">
        <v>756</v>
      </c>
      <c r="L26" s="3430"/>
      <c r="M26" s="3434"/>
      <c r="N26" s="3441" t="s">
        <v>256</v>
      </c>
      <c r="O26" s="3430"/>
      <c r="P26" s="3430"/>
      <c r="Q26" s="3429" t="s">
        <v>257</v>
      </c>
      <c r="R26" s="3430"/>
      <c r="S26" s="3431"/>
      <c r="T26" s="3430" t="s">
        <v>756</v>
      </c>
      <c r="U26" s="3430"/>
      <c r="V26" s="3434"/>
      <c r="W26" s="3441" t="s">
        <v>256</v>
      </c>
      <c r="X26" s="3430"/>
      <c r="Y26" s="3430"/>
      <c r="Z26" s="3429" t="s">
        <v>257</v>
      </c>
      <c r="AA26" s="3430"/>
      <c r="AB26" s="3431"/>
      <c r="AC26" s="3430" t="s">
        <v>756</v>
      </c>
      <c r="AD26" s="3430"/>
      <c r="AE26" s="3434"/>
    </row>
    <row r="27" spans="1:31" x14ac:dyDescent="0.2">
      <c r="B27" s="50" t="s">
        <v>353</v>
      </c>
      <c r="C27" s="50" t="s">
        <v>355</v>
      </c>
      <c r="D27" s="50" t="s">
        <v>344</v>
      </c>
      <c r="E27" s="110" t="s">
        <v>249</v>
      </c>
      <c r="F27" s="36" t="s">
        <v>247</v>
      </c>
      <c r="G27" s="36"/>
      <c r="H27" s="35" t="s">
        <v>249</v>
      </c>
      <c r="I27" s="36" t="s">
        <v>247</v>
      </c>
      <c r="J27" s="37"/>
      <c r="K27" s="36" t="s">
        <v>249</v>
      </c>
      <c r="L27" s="36" t="s">
        <v>247</v>
      </c>
      <c r="M27" s="109"/>
      <c r="N27" s="110" t="s">
        <v>249</v>
      </c>
      <c r="O27" s="36" t="s">
        <v>247</v>
      </c>
      <c r="P27" s="36"/>
      <c r="Q27" s="35" t="s">
        <v>249</v>
      </c>
      <c r="R27" s="36" t="s">
        <v>247</v>
      </c>
      <c r="S27" s="37"/>
      <c r="T27" s="36" t="s">
        <v>249</v>
      </c>
      <c r="U27" s="36" t="s">
        <v>247</v>
      </c>
      <c r="V27" s="109"/>
      <c r="W27" s="110" t="s">
        <v>249</v>
      </c>
      <c r="X27" s="36" t="s">
        <v>247</v>
      </c>
      <c r="Y27" s="36"/>
      <c r="Z27" s="35" t="s">
        <v>249</v>
      </c>
      <c r="AA27" s="36" t="s">
        <v>247</v>
      </c>
      <c r="AB27" s="37"/>
      <c r="AC27" s="36" t="s">
        <v>249</v>
      </c>
      <c r="AD27" s="36" t="s">
        <v>247</v>
      </c>
      <c r="AE27" s="109"/>
    </row>
    <row r="28" spans="1:31" ht="13.5" thickBot="1" x14ac:dyDescent="0.25">
      <c r="B28" s="177" t="s">
        <v>354</v>
      </c>
      <c r="C28" s="176" t="s">
        <v>356</v>
      </c>
      <c r="D28" s="51" t="s">
        <v>343</v>
      </c>
      <c r="E28" s="110" t="s">
        <v>248</v>
      </c>
      <c r="F28" s="36" t="s">
        <v>246</v>
      </c>
      <c r="G28" s="36" t="s">
        <v>244</v>
      </c>
      <c r="H28" s="35" t="s">
        <v>248</v>
      </c>
      <c r="I28" s="36" t="s">
        <v>246</v>
      </c>
      <c r="J28" s="37" t="s">
        <v>244</v>
      </c>
      <c r="K28" s="36" t="s">
        <v>248</v>
      </c>
      <c r="L28" s="36" t="s">
        <v>246</v>
      </c>
      <c r="M28" s="109" t="s">
        <v>244</v>
      </c>
      <c r="N28" s="110" t="s">
        <v>248</v>
      </c>
      <c r="O28" s="36" t="s">
        <v>246</v>
      </c>
      <c r="P28" s="36" t="s">
        <v>244</v>
      </c>
      <c r="Q28" s="35" t="s">
        <v>248</v>
      </c>
      <c r="R28" s="36" t="s">
        <v>246</v>
      </c>
      <c r="S28" s="37" t="s">
        <v>244</v>
      </c>
      <c r="T28" s="36" t="s">
        <v>248</v>
      </c>
      <c r="U28" s="36" t="s">
        <v>246</v>
      </c>
      <c r="V28" s="109" t="s">
        <v>244</v>
      </c>
      <c r="W28" s="110" t="s">
        <v>248</v>
      </c>
      <c r="X28" s="36" t="s">
        <v>246</v>
      </c>
      <c r="Y28" s="36" t="s">
        <v>244</v>
      </c>
      <c r="Z28" s="35" t="s">
        <v>248</v>
      </c>
      <c r="AA28" s="36" t="s">
        <v>246</v>
      </c>
      <c r="AB28" s="37" t="s">
        <v>244</v>
      </c>
      <c r="AC28" s="36" t="s">
        <v>248</v>
      </c>
      <c r="AD28" s="36" t="s">
        <v>246</v>
      </c>
      <c r="AE28" s="109" t="s">
        <v>244</v>
      </c>
    </row>
    <row r="29" spans="1:31" ht="13.5" hidden="1" customHeight="1" thickBot="1" x14ac:dyDescent="0.25">
      <c r="B29" s="176"/>
      <c r="D29" s="126"/>
      <c r="E29" s="110" t="s">
        <v>349</v>
      </c>
      <c r="F29" s="36" t="s">
        <v>350</v>
      </c>
      <c r="G29" s="36" t="s">
        <v>244</v>
      </c>
      <c r="H29" s="110" t="s">
        <v>349</v>
      </c>
      <c r="I29" s="36" t="s">
        <v>350</v>
      </c>
      <c r="J29" s="37" t="s">
        <v>244</v>
      </c>
      <c r="K29" s="36" t="s">
        <v>349</v>
      </c>
      <c r="L29" s="36" t="s">
        <v>350</v>
      </c>
      <c r="M29" s="36" t="s">
        <v>244</v>
      </c>
      <c r="N29" s="110" t="s">
        <v>349</v>
      </c>
      <c r="O29" s="36" t="s">
        <v>350</v>
      </c>
      <c r="P29" s="36" t="s">
        <v>244</v>
      </c>
      <c r="Q29" s="35" t="s">
        <v>349</v>
      </c>
      <c r="R29" s="36" t="s">
        <v>350</v>
      </c>
      <c r="S29" s="37" t="s">
        <v>244</v>
      </c>
      <c r="T29" s="36" t="s">
        <v>349</v>
      </c>
      <c r="U29" s="36" t="s">
        <v>350</v>
      </c>
      <c r="V29" s="36" t="s">
        <v>244</v>
      </c>
      <c r="W29" s="110" t="s">
        <v>349</v>
      </c>
      <c r="X29" s="36" t="s">
        <v>350</v>
      </c>
      <c r="Y29" s="36" t="s">
        <v>244</v>
      </c>
      <c r="Z29" s="35" t="s">
        <v>349</v>
      </c>
      <c r="AA29" s="36" t="s">
        <v>350</v>
      </c>
      <c r="AB29" s="37" t="s">
        <v>244</v>
      </c>
      <c r="AC29" s="36" t="s">
        <v>349</v>
      </c>
      <c r="AD29" s="36" t="s">
        <v>350</v>
      </c>
      <c r="AE29" s="36" t="s">
        <v>244</v>
      </c>
    </row>
    <row r="30" spans="1:31" ht="13.5" thickTop="1" x14ac:dyDescent="0.2">
      <c r="A30" s="252" t="s">
        <v>345</v>
      </c>
      <c r="B30" s="253"/>
      <c r="C30" s="254"/>
      <c r="D30" s="255">
        <v>5</v>
      </c>
      <c r="E30" s="256">
        <f>G30-F30</f>
        <v>16</v>
      </c>
      <c r="F30" s="879">
        <f>Paramètres!DS6</f>
        <v>35</v>
      </c>
      <c r="G30" s="910">
        <f>Paramètres!DT6</f>
        <v>51</v>
      </c>
      <c r="H30" s="210">
        <f>J30-I30</f>
        <v>16</v>
      </c>
      <c r="I30" s="880">
        <f>Paramètres!DV6</f>
        <v>11</v>
      </c>
      <c r="J30" s="913">
        <f>Paramètres!DW6</f>
        <v>27</v>
      </c>
      <c r="K30" s="253">
        <f>M30-L30</f>
        <v>35</v>
      </c>
      <c r="L30" s="879">
        <f>Paramètres!DY6</f>
        <v>53</v>
      </c>
      <c r="M30" s="980">
        <f>Paramètres!DZ6</f>
        <v>88</v>
      </c>
      <c r="N30" s="256">
        <f>P30-O30</f>
        <v>22</v>
      </c>
      <c r="O30" s="879">
        <f>Paramètres!DS27</f>
        <v>43</v>
      </c>
      <c r="P30" s="879">
        <f>Paramètres!DT27</f>
        <v>65</v>
      </c>
      <c r="Q30" s="210">
        <f>S30-R30</f>
        <v>16.5</v>
      </c>
      <c r="R30" s="880">
        <f>Paramètres!DV27</f>
        <v>12.5</v>
      </c>
      <c r="S30" s="913">
        <f>Paramètres!DW27</f>
        <v>29</v>
      </c>
      <c r="T30" s="253">
        <f>V30-U30</f>
        <v>38</v>
      </c>
      <c r="U30" s="879">
        <f>Paramètres!DY27</f>
        <v>62</v>
      </c>
      <c r="V30" s="980">
        <f>Paramètres!DZ27</f>
        <v>100</v>
      </c>
      <c r="W30" s="256">
        <f>Y30-X30</f>
        <v>22</v>
      </c>
      <c r="X30" s="879">
        <f>Paramètres!DS48</f>
        <v>50</v>
      </c>
      <c r="Y30" s="879">
        <f>Paramètres!DT48</f>
        <v>72</v>
      </c>
      <c r="Z30" s="210">
        <f>AB30-AA30</f>
        <v>3</v>
      </c>
      <c r="AA30" s="880">
        <f>Paramètres!DV48</f>
        <v>29</v>
      </c>
      <c r="AB30" s="913">
        <f>Paramètres!DW48</f>
        <v>32</v>
      </c>
      <c r="AC30" s="253">
        <f>AE30-AD30</f>
        <v>43</v>
      </c>
      <c r="AD30" s="879">
        <f>Paramètres!DY48</f>
        <v>72</v>
      </c>
      <c r="AE30" s="980">
        <f>Paramètres!DZ48</f>
        <v>115</v>
      </c>
    </row>
    <row r="31" spans="1:31" x14ac:dyDescent="0.2">
      <c r="A31" s="257" t="s">
        <v>342</v>
      </c>
      <c r="B31" s="258"/>
      <c r="C31" s="259"/>
      <c r="D31" s="260">
        <v>6</v>
      </c>
      <c r="E31" s="261">
        <f t="shared" ref="E31:E44" si="6">G31-F31</f>
        <v>15</v>
      </c>
      <c r="F31" s="872">
        <f>Paramètres!DS7</f>
        <v>42</v>
      </c>
      <c r="G31" s="873">
        <f>Paramètres!DT7</f>
        <v>57</v>
      </c>
      <c r="H31" s="204">
        <f t="shared" ref="H31:H43" si="7">J31-I31</f>
        <v>17</v>
      </c>
      <c r="I31" s="866">
        <f>Paramètres!DV7</f>
        <v>12</v>
      </c>
      <c r="J31" s="870">
        <f>Paramètres!DW7</f>
        <v>29</v>
      </c>
      <c r="K31" s="258">
        <f t="shared" ref="K31:K43" si="8">M31-L31</f>
        <v>29</v>
      </c>
      <c r="L31" s="872">
        <f>Paramètres!DY7</f>
        <v>66</v>
      </c>
      <c r="M31" s="981">
        <f>Paramètres!DZ7</f>
        <v>95</v>
      </c>
      <c r="N31" s="261">
        <f t="shared" ref="N31:N44" si="9">P31-O31</f>
        <v>17</v>
      </c>
      <c r="O31" s="872">
        <f>Paramètres!DS28</f>
        <v>52</v>
      </c>
      <c r="P31" s="872">
        <f>Paramètres!DT28</f>
        <v>69</v>
      </c>
      <c r="Q31" s="204">
        <f t="shared" ref="Q31:Q44" si="10">S31-R31</f>
        <v>14.5</v>
      </c>
      <c r="R31" s="866">
        <f>Paramètres!DV28</f>
        <v>17.5</v>
      </c>
      <c r="S31" s="870">
        <f>Paramètres!DW28</f>
        <v>32</v>
      </c>
      <c r="T31" s="258">
        <f t="shared" ref="T31:T44" si="11">V31-U31</f>
        <v>32</v>
      </c>
      <c r="U31" s="872">
        <f>Paramètres!DY28</f>
        <v>78</v>
      </c>
      <c r="V31" s="981">
        <f>Paramètres!DZ28</f>
        <v>110</v>
      </c>
      <c r="W31" s="261">
        <f t="shared" ref="W31:W44" si="12">Y31-X31</f>
        <v>22</v>
      </c>
      <c r="X31" s="872">
        <f>Paramètres!DS49</f>
        <v>60</v>
      </c>
      <c r="Y31" s="872">
        <f>Paramètres!DT49</f>
        <v>82</v>
      </c>
      <c r="Z31" s="204">
        <f t="shared" ref="Z31:Z44" si="13">AB31-AA31</f>
        <v>4</v>
      </c>
      <c r="AA31" s="866">
        <f>Paramètres!DV49</f>
        <v>32</v>
      </c>
      <c r="AB31" s="870">
        <f>Paramètres!DW49</f>
        <v>36</v>
      </c>
      <c r="AC31" s="258">
        <f t="shared" ref="AC31:AC44" si="14">AE31-AD31</f>
        <v>35</v>
      </c>
      <c r="AD31" s="872">
        <f>Paramètres!DY49</f>
        <v>89</v>
      </c>
      <c r="AE31" s="981">
        <f>Paramètres!DZ49</f>
        <v>124</v>
      </c>
    </row>
    <row r="32" spans="1:31" x14ac:dyDescent="0.2">
      <c r="A32" s="120"/>
      <c r="B32" s="258"/>
      <c r="C32" s="259"/>
      <c r="D32" s="260">
        <v>7</v>
      </c>
      <c r="E32" s="261">
        <f t="shared" si="6"/>
        <v>16</v>
      </c>
      <c r="F32" s="872">
        <f>Paramètres!DS8</f>
        <v>50</v>
      </c>
      <c r="G32" s="873">
        <f>Paramètres!DT8</f>
        <v>66</v>
      </c>
      <c r="H32" s="204">
        <f t="shared" si="7"/>
        <v>16</v>
      </c>
      <c r="I32" s="866">
        <f>Paramètres!DV8</f>
        <v>16</v>
      </c>
      <c r="J32" s="870">
        <f>Paramètres!DW8</f>
        <v>32</v>
      </c>
      <c r="K32" s="258">
        <f t="shared" si="8"/>
        <v>22</v>
      </c>
      <c r="L32" s="872">
        <f>Paramètres!DY8</f>
        <v>79</v>
      </c>
      <c r="M32" s="981">
        <f>Paramètres!DZ8</f>
        <v>101</v>
      </c>
      <c r="N32" s="261">
        <f t="shared" si="9"/>
        <v>17</v>
      </c>
      <c r="O32" s="872">
        <f>Paramètres!DS29</f>
        <v>59</v>
      </c>
      <c r="P32" s="872">
        <f>Paramètres!DT29</f>
        <v>76</v>
      </c>
      <c r="Q32" s="204">
        <f t="shared" si="10"/>
        <v>14</v>
      </c>
      <c r="R32" s="866">
        <f>Paramètres!DV29</f>
        <v>20</v>
      </c>
      <c r="S32" s="870">
        <f>Paramètres!DW29</f>
        <v>34</v>
      </c>
      <c r="T32" s="258">
        <f t="shared" si="11"/>
        <v>25</v>
      </c>
      <c r="U32" s="872">
        <f>Paramètres!DY29</f>
        <v>93</v>
      </c>
      <c r="V32" s="981">
        <f>Paramètres!DZ29</f>
        <v>118</v>
      </c>
      <c r="W32" s="261">
        <f t="shared" si="12"/>
        <v>16</v>
      </c>
      <c r="X32" s="872">
        <f>Paramètres!DS50</f>
        <v>70</v>
      </c>
      <c r="Y32" s="872">
        <f>Paramètres!DT50</f>
        <v>86</v>
      </c>
      <c r="Z32" s="204">
        <f t="shared" si="13"/>
        <v>3</v>
      </c>
      <c r="AA32" s="866">
        <f>Paramètres!DV50</f>
        <v>34</v>
      </c>
      <c r="AB32" s="870">
        <f>Paramètres!DW50</f>
        <v>37</v>
      </c>
      <c r="AC32" s="258">
        <f t="shared" si="14"/>
        <v>28</v>
      </c>
      <c r="AD32" s="872">
        <f>Paramètres!DY50</f>
        <v>106</v>
      </c>
      <c r="AE32" s="981">
        <f>Paramètres!DZ50</f>
        <v>134</v>
      </c>
    </row>
    <row r="33" spans="1:34" ht="13.5" thickBot="1" x14ac:dyDescent="0.25">
      <c r="A33" s="262"/>
      <c r="B33" s="258"/>
      <c r="C33" s="259"/>
      <c r="D33" s="260">
        <v>8</v>
      </c>
      <c r="E33" s="261">
        <f t="shared" si="6"/>
        <v>15</v>
      </c>
      <c r="F33" s="872">
        <f>Paramètres!DS9</f>
        <v>56</v>
      </c>
      <c r="G33" s="873">
        <f>Paramètres!DT9</f>
        <v>71</v>
      </c>
      <c r="H33" s="204">
        <f t="shared" si="7"/>
        <v>15.5</v>
      </c>
      <c r="I33" s="866">
        <f>Paramètres!DV9</f>
        <v>18.5</v>
      </c>
      <c r="J33" s="870">
        <f>Paramètres!DW9</f>
        <v>34</v>
      </c>
      <c r="K33" s="258">
        <f t="shared" si="8"/>
        <v>16</v>
      </c>
      <c r="L33" s="872">
        <f>Paramètres!DY9</f>
        <v>92</v>
      </c>
      <c r="M33" s="981">
        <f>Paramètres!DZ9</f>
        <v>108</v>
      </c>
      <c r="N33" s="263">
        <f t="shared" si="9"/>
        <v>14</v>
      </c>
      <c r="O33" s="878">
        <f>Paramètres!DS30</f>
        <v>68</v>
      </c>
      <c r="P33" s="878">
        <f>Paramètres!DT30</f>
        <v>82</v>
      </c>
      <c r="Q33" s="206">
        <f t="shared" si="10"/>
        <v>13</v>
      </c>
      <c r="R33" s="882">
        <f>Paramètres!DV30</f>
        <v>22</v>
      </c>
      <c r="S33" s="918">
        <f>Paramètres!DW30</f>
        <v>35</v>
      </c>
      <c r="T33" s="264">
        <f t="shared" si="11"/>
        <v>19</v>
      </c>
      <c r="U33" s="878">
        <f>Paramètres!DY30</f>
        <v>108</v>
      </c>
      <c r="V33" s="986">
        <f>Paramètres!DZ30</f>
        <v>127</v>
      </c>
      <c r="W33" s="263">
        <f t="shared" si="12"/>
        <v>15</v>
      </c>
      <c r="X33" s="878">
        <f>Paramètres!DS51</f>
        <v>80</v>
      </c>
      <c r="Y33" s="878">
        <f>Paramètres!DT51</f>
        <v>95</v>
      </c>
      <c r="Z33" s="206">
        <f t="shared" si="13"/>
        <v>3</v>
      </c>
      <c r="AA33" s="882">
        <f>Paramètres!DV51</f>
        <v>35</v>
      </c>
      <c r="AB33" s="918">
        <f>Paramètres!DW51</f>
        <v>38</v>
      </c>
      <c r="AC33" s="264">
        <f t="shared" si="14"/>
        <v>20</v>
      </c>
      <c r="AD33" s="878">
        <f>Paramètres!DY51</f>
        <v>123</v>
      </c>
      <c r="AE33" s="986">
        <f>Paramètres!DZ51</f>
        <v>143</v>
      </c>
    </row>
    <row r="34" spans="1:34" ht="13.5" thickTop="1" x14ac:dyDescent="0.2">
      <c r="A34" s="1346" t="s">
        <v>351</v>
      </c>
      <c r="B34" s="81">
        <v>1</v>
      </c>
      <c r="C34" s="81"/>
      <c r="D34" s="265"/>
      <c r="E34" s="266">
        <f t="shared" si="6"/>
        <v>17</v>
      </c>
      <c r="F34" s="911">
        <f>Paramètres!DS10</f>
        <v>10</v>
      </c>
      <c r="G34" s="911">
        <f>Paramètres!DT10</f>
        <v>27</v>
      </c>
      <c r="H34" s="268">
        <f t="shared" si="7"/>
        <v>4.5</v>
      </c>
      <c r="I34" s="914">
        <f>Paramètres!DV10</f>
        <v>3.5</v>
      </c>
      <c r="J34" s="915">
        <f>Paramètres!DW10</f>
        <v>8</v>
      </c>
      <c r="K34" s="267">
        <f t="shared" si="8"/>
        <v>12</v>
      </c>
      <c r="L34" s="911">
        <f>Paramètres!DY10</f>
        <v>26</v>
      </c>
      <c r="M34" s="982">
        <f>Paramètres!DZ10</f>
        <v>38</v>
      </c>
      <c r="N34" s="266">
        <f t="shared" si="9"/>
        <v>17</v>
      </c>
      <c r="O34" s="911">
        <f>Paramètres!DS31</f>
        <v>10</v>
      </c>
      <c r="P34" s="911">
        <f>Paramètres!DT31</f>
        <v>27</v>
      </c>
      <c r="Q34" s="268">
        <f t="shared" si="10"/>
        <v>4.5</v>
      </c>
      <c r="R34" s="914">
        <f>Paramètres!DV31</f>
        <v>3.5</v>
      </c>
      <c r="S34" s="915">
        <f>Paramètres!DW31</f>
        <v>8</v>
      </c>
      <c r="T34" s="267">
        <f t="shared" si="11"/>
        <v>12</v>
      </c>
      <c r="U34" s="911">
        <f>Paramètres!DY31</f>
        <v>26</v>
      </c>
      <c r="V34" s="982">
        <f>Paramètres!DZ31</f>
        <v>38</v>
      </c>
      <c r="W34" s="266">
        <f t="shared" si="12"/>
        <v>17</v>
      </c>
      <c r="X34" s="911">
        <f>Paramètres!DS52</f>
        <v>10</v>
      </c>
      <c r="Y34" s="911">
        <f>Paramètres!DT52</f>
        <v>27</v>
      </c>
      <c r="Z34" s="268">
        <f t="shared" si="13"/>
        <v>4.5</v>
      </c>
      <c r="AA34" s="914">
        <f>Paramètres!DV52</f>
        <v>3.5</v>
      </c>
      <c r="AB34" s="915">
        <f>Paramètres!DW52</f>
        <v>8</v>
      </c>
      <c r="AC34" s="267">
        <f t="shared" si="14"/>
        <v>12</v>
      </c>
      <c r="AD34" s="911">
        <f>Paramètres!DY52</f>
        <v>26</v>
      </c>
      <c r="AE34" s="982">
        <f>Paramètres!DZ52</f>
        <v>38</v>
      </c>
    </row>
    <row r="35" spans="1:34" x14ac:dyDescent="0.2">
      <c r="A35" s="125" t="s">
        <v>352</v>
      </c>
      <c r="B35" s="50">
        <v>2</v>
      </c>
      <c r="C35" s="50"/>
      <c r="D35" s="212">
        <v>5</v>
      </c>
      <c r="E35" s="270">
        <f t="shared" si="6"/>
        <v>15</v>
      </c>
      <c r="F35" s="912">
        <f>Paramètres!DS11</f>
        <v>20</v>
      </c>
      <c r="G35" s="912">
        <f>Paramètres!DT11</f>
        <v>35</v>
      </c>
      <c r="H35" s="214">
        <f t="shared" si="7"/>
        <v>9.5</v>
      </c>
      <c r="I35" s="916">
        <f>Paramètres!DV11</f>
        <v>6.5</v>
      </c>
      <c r="J35" s="869">
        <f>Paramètres!DW11</f>
        <v>16</v>
      </c>
      <c r="K35" s="271">
        <f t="shared" si="8"/>
        <v>19</v>
      </c>
      <c r="L35" s="912">
        <f>Paramètres!DY11</f>
        <v>29</v>
      </c>
      <c r="M35" s="983">
        <f>Paramètres!DZ11</f>
        <v>48</v>
      </c>
      <c r="N35" s="270">
        <f t="shared" si="9"/>
        <v>14</v>
      </c>
      <c r="O35" s="912">
        <f>Paramètres!DS32</f>
        <v>23</v>
      </c>
      <c r="P35" s="912">
        <f>Paramètres!DT32</f>
        <v>37</v>
      </c>
      <c r="Q35" s="214">
        <f t="shared" si="10"/>
        <v>10.5</v>
      </c>
      <c r="R35" s="916">
        <f>Paramètres!DV32</f>
        <v>7</v>
      </c>
      <c r="S35" s="869">
        <f>Paramètres!DW32</f>
        <v>17.5</v>
      </c>
      <c r="T35" s="271">
        <f t="shared" si="11"/>
        <v>22</v>
      </c>
      <c r="U35" s="912">
        <f>Paramètres!DY32</f>
        <v>34</v>
      </c>
      <c r="V35" s="983">
        <f>Paramètres!DZ32</f>
        <v>56</v>
      </c>
      <c r="W35" s="270">
        <f t="shared" si="12"/>
        <v>15</v>
      </c>
      <c r="X35" s="912">
        <f>Paramètres!DS53</f>
        <v>26</v>
      </c>
      <c r="Y35" s="912">
        <f>Paramètres!DT53</f>
        <v>41</v>
      </c>
      <c r="Z35" s="214">
        <f t="shared" si="13"/>
        <v>11.5</v>
      </c>
      <c r="AA35" s="916">
        <f>Paramètres!DV53</f>
        <v>8.5</v>
      </c>
      <c r="AB35" s="869">
        <f>Paramètres!DW53</f>
        <v>20</v>
      </c>
      <c r="AC35" s="271">
        <f t="shared" si="14"/>
        <v>25</v>
      </c>
      <c r="AD35" s="912">
        <f>Paramètres!DY53</f>
        <v>37</v>
      </c>
      <c r="AE35" s="983">
        <f>Paramètres!DZ53</f>
        <v>62</v>
      </c>
    </row>
    <row r="36" spans="1:34" x14ac:dyDescent="0.2">
      <c r="A36" s="61"/>
      <c r="B36" s="51"/>
      <c r="C36" s="51"/>
      <c r="D36" s="126">
        <v>6</v>
      </c>
      <c r="E36" s="261">
        <f t="shared" si="6"/>
        <v>12</v>
      </c>
      <c r="F36" s="872">
        <f>Paramètres!DS12</f>
        <v>25</v>
      </c>
      <c r="G36" s="872">
        <f>Paramètres!DT12</f>
        <v>37</v>
      </c>
      <c r="H36" s="204">
        <f t="shared" si="7"/>
        <v>8</v>
      </c>
      <c r="I36" s="866">
        <f>Paramètres!DV12</f>
        <v>8</v>
      </c>
      <c r="J36" s="870">
        <f>Paramètres!DW12</f>
        <v>16</v>
      </c>
      <c r="K36" s="258">
        <f t="shared" si="8"/>
        <v>16</v>
      </c>
      <c r="L36" s="872">
        <f>Paramètres!DY12</f>
        <v>34</v>
      </c>
      <c r="M36" s="981">
        <f>Paramètres!DZ12</f>
        <v>50</v>
      </c>
      <c r="N36" s="261">
        <f t="shared" si="9"/>
        <v>13</v>
      </c>
      <c r="O36" s="872">
        <f>Paramètres!DS33</f>
        <v>25</v>
      </c>
      <c r="P36" s="872">
        <f>Paramètres!DT33</f>
        <v>38</v>
      </c>
      <c r="Q36" s="204">
        <f t="shared" si="10"/>
        <v>9</v>
      </c>
      <c r="R36" s="866">
        <f>Paramètres!DV33</f>
        <v>9</v>
      </c>
      <c r="S36" s="870">
        <f>Paramètres!DW33</f>
        <v>18</v>
      </c>
      <c r="T36" s="258">
        <f t="shared" si="11"/>
        <v>19</v>
      </c>
      <c r="U36" s="872">
        <f>Paramètres!DY33</f>
        <v>40</v>
      </c>
      <c r="V36" s="981">
        <f>Paramètres!DZ33</f>
        <v>59</v>
      </c>
      <c r="W36" s="261">
        <f t="shared" si="12"/>
        <v>15</v>
      </c>
      <c r="X36" s="872">
        <f>Paramètres!DS54</f>
        <v>30</v>
      </c>
      <c r="Y36" s="872">
        <f>Paramètres!DT54</f>
        <v>45</v>
      </c>
      <c r="Z36" s="204">
        <f t="shared" si="13"/>
        <v>11</v>
      </c>
      <c r="AA36" s="866">
        <f>Paramètres!DV54</f>
        <v>10</v>
      </c>
      <c r="AB36" s="870">
        <f>Paramètres!DW54</f>
        <v>21</v>
      </c>
      <c r="AC36" s="258">
        <f t="shared" si="14"/>
        <v>22</v>
      </c>
      <c r="AD36" s="872">
        <f>Paramètres!DY54</f>
        <v>45</v>
      </c>
      <c r="AE36" s="981">
        <f>Paramètres!DZ54</f>
        <v>67</v>
      </c>
    </row>
    <row r="37" spans="1:34" x14ac:dyDescent="0.2">
      <c r="A37" s="61"/>
      <c r="B37" s="51"/>
      <c r="C37" s="51"/>
      <c r="D37" s="126">
        <v>7</v>
      </c>
      <c r="E37" s="261">
        <f t="shared" si="6"/>
        <v>11</v>
      </c>
      <c r="F37" s="872">
        <f>Paramètres!DS13</f>
        <v>28</v>
      </c>
      <c r="G37" s="872">
        <f>Paramètres!DT13</f>
        <v>39</v>
      </c>
      <c r="H37" s="204">
        <f t="shared" si="7"/>
        <v>8</v>
      </c>
      <c r="I37" s="866">
        <f>Paramètres!DV13</f>
        <v>9</v>
      </c>
      <c r="J37" s="870">
        <f>Paramètres!DW13</f>
        <v>17</v>
      </c>
      <c r="K37" s="258">
        <f t="shared" si="8"/>
        <v>14</v>
      </c>
      <c r="L37" s="872">
        <f>Paramètres!DY13</f>
        <v>40</v>
      </c>
      <c r="M37" s="981">
        <f>Paramètres!DZ13</f>
        <v>54</v>
      </c>
      <c r="N37" s="261">
        <f t="shared" si="9"/>
        <v>12</v>
      </c>
      <c r="O37" s="872">
        <f>Paramètres!DS34</f>
        <v>32</v>
      </c>
      <c r="P37" s="872">
        <f>Paramètres!DT34</f>
        <v>44</v>
      </c>
      <c r="Q37" s="204">
        <f t="shared" si="10"/>
        <v>7</v>
      </c>
      <c r="R37" s="866">
        <f>Paramètres!DV34</f>
        <v>11</v>
      </c>
      <c r="S37" s="870">
        <f>Paramètres!DW34</f>
        <v>18</v>
      </c>
      <c r="T37" s="258">
        <f t="shared" si="11"/>
        <v>16</v>
      </c>
      <c r="U37" s="872">
        <f>Paramètres!DY34</f>
        <v>47</v>
      </c>
      <c r="V37" s="981">
        <f>Paramètres!DZ34</f>
        <v>63</v>
      </c>
      <c r="W37" s="261">
        <f t="shared" si="12"/>
        <v>15</v>
      </c>
      <c r="X37" s="872">
        <f>Paramètres!DS55</f>
        <v>36</v>
      </c>
      <c r="Y37" s="872">
        <f>Paramètres!DT55</f>
        <v>51</v>
      </c>
      <c r="Z37" s="204">
        <f t="shared" si="13"/>
        <v>9</v>
      </c>
      <c r="AA37" s="866">
        <f>Paramètres!DV55</f>
        <v>12</v>
      </c>
      <c r="AB37" s="870">
        <f>Paramètres!DW55</f>
        <v>21</v>
      </c>
      <c r="AC37" s="258">
        <f t="shared" si="14"/>
        <v>18</v>
      </c>
      <c r="AD37" s="872">
        <f>Paramètres!DY55</f>
        <v>52</v>
      </c>
      <c r="AE37" s="981">
        <f>Paramètres!DZ55</f>
        <v>70</v>
      </c>
    </row>
    <row r="38" spans="1:34" x14ac:dyDescent="0.2">
      <c r="A38" s="61"/>
      <c r="B38" s="177"/>
      <c r="C38" s="177"/>
      <c r="D38" s="152">
        <v>8</v>
      </c>
      <c r="E38" s="272">
        <f t="shared" si="6"/>
        <v>9</v>
      </c>
      <c r="F38" s="874">
        <f>Paramètres!DS14</f>
        <v>32</v>
      </c>
      <c r="G38" s="874">
        <f>Paramètres!DT14</f>
        <v>41</v>
      </c>
      <c r="H38" s="274">
        <f t="shared" si="7"/>
        <v>7</v>
      </c>
      <c r="I38" s="868">
        <f>Paramètres!DV14</f>
        <v>10</v>
      </c>
      <c r="J38" s="871">
        <f>Paramètres!DW14</f>
        <v>17</v>
      </c>
      <c r="K38" s="273">
        <f t="shared" si="8"/>
        <v>11</v>
      </c>
      <c r="L38" s="874">
        <f>Paramètres!DY14</f>
        <v>46</v>
      </c>
      <c r="M38" s="984">
        <f>Paramètres!DZ14</f>
        <v>57</v>
      </c>
      <c r="N38" s="272">
        <f t="shared" si="9"/>
        <v>11</v>
      </c>
      <c r="O38" s="874">
        <f>Paramètres!DS35</f>
        <v>37</v>
      </c>
      <c r="P38" s="874">
        <f>Paramètres!DT35</f>
        <v>48</v>
      </c>
      <c r="Q38" s="274">
        <f t="shared" si="10"/>
        <v>7</v>
      </c>
      <c r="R38" s="868">
        <f>Paramètres!DV35</f>
        <v>12</v>
      </c>
      <c r="S38" s="871">
        <f>Paramètres!DW35</f>
        <v>19</v>
      </c>
      <c r="T38" s="273">
        <f t="shared" si="11"/>
        <v>13</v>
      </c>
      <c r="U38" s="874">
        <f>Paramètres!DY35</f>
        <v>54</v>
      </c>
      <c r="V38" s="984">
        <f>Paramètres!DZ35</f>
        <v>67</v>
      </c>
      <c r="W38" s="272">
        <f t="shared" si="12"/>
        <v>15</v>
      </c>
      <c r="X38" s="874">
        <f>Paramètres!DS56</f>
        <v>40</v>
      </c>
      <c r="Y38" s="874">
        <f>Paramètres!DT56</f>
        <v>55</v>
      </c>
      <c r="Z38" s="274">
        <f t="shared" si="13"/>
        <v>9</v>
      </c>
      <c r="AA38" s="868">
        <f>Paramètres!DV56</f>
        <v>13</v>
      </c>
      <c r="AB38" s="871">
        <f>Paramètres!DW56</f>
        <v>22</v>
      </c>
      <c r="AC38" s="273">
        <f t="shared" si="14"/>
        <v>14</v>
      </c>
      <c r="AD38" s="874">
        <f>Paramètres!DY56</f>
        <v>59</v>
      </c>
      <c r="AE38" s="984">
        <f>Paramètres!DZ56</f>
        <v>73</v>
      </c>
    </row>
    <row r="39" spans="1:34" x14ac:dyDescent="0.2">
      <c r="A39" s="61"/>
      <c r="B39" s="51">
        <v>3</v>
      </c>
      <c r="C39" s="276" t="s">
        <v>357</v>
      </c>
      <c r="D39" s="126" t="s">
        <v>258</v>
      </c>
      <c r="E39" s="270">
        <f t="shared" si="6"/>
        <v>17</v>
      </c>
      <c r="F39" s="912">
        <f>Paramètres!DS15</f>
        <v>0</v>
      </c>
      <c r="G39" s="912">
        <f>Paramètres!DT15</f>
        <v>17</v>
      </c>
      <c r="H39" s="214">
        <f t="shared" si="7"/>
        <v>11</v>
      </c>
      <c r="I39" s="916">
        <f>Paramètres!DV15</f>
        <v>0</v>
      </c>
      <c r="J39" s="869">
        <f>Paramètres!DW15</f>
        <v>11</v>
      </c>
      <c r="K39" s="271">
        <f t="shared" si="8"/>
        <v>27</v>
      </c>
      <c r="L39" s="912">
        <f>Paramètres!DY15</f>
        <v>0</v>
      </c>
      <c r="M39" s="983">
        <f>Paramètres!DZ15</f>
        <v>27</v>
      </c>
      <c r="N39" s="270">
        <f t="shared" si="9"/>
        <v>19</v>
      </c>
      <c r="O39" s="912">
        <f>Paramètres!DS36</f>
        <v>0</v>
      </c>
      <c r="P39" s="912">
        <f>Paramètres!DT36</f>
        <v>19</v>
      </c>
      <c r="Q39" s="214">
        <f t="shared" si="10"/>
        <v>12</v>
      </c>
      <c r="R39" s="916">
        <f>Paramètres!DV36</f>
        <v>0</v>
      </c>
      <c r="S39" s="869">
        <f>Paramètres!DW36</f>
        <v>12</v>
      </c>
      <c r="T39" s="271">
        <f t="shared" si="11"/>
        <v>30</v>
      </c>
      <c r="U39" s="912">
        <f>Paramètres!DY36</f>
        <v>0</v>
      </c>
      <c r="V39" s="983">
        <f>Paramètres!DZ36</f>
        <v>30</v>
      </c>
      <c r="W39" s="270">
        <f t="shared" si="12"/>
        <v>22</v>
      </c>
      <c r="X39" s="912">
        <f>Paramètres!DS57</f>
        <v>0</v>
      </c>
      <c r="Y39" s="912">
        <f>Paramètres!DT57</f>
        <v>22</v>
      </c>
      <c r="Z39" s="214">
        <f t="shared" si="13"/>
        <v>13.5</v>
      </c>
      <c r="AA39" s="916">
        <f>Paramètres!DV57</f>
        <v>0</v>
      </c>
      <c r="AB39" s="869">
        <f>Paramètres!DW57</f>
        <v>13.5</v>
      </c>
      <c r="AC39" s="271">
        <f t="shared" si="14"/>
        <v>34</v>
      </c>
      <c r="AD39" s="912">
        <f>Paramètres!DY57</f>
        <v>0</v>
      </c>
      <c r="AE39" s="983">
        <f>Paramètres!DZ57</f>
        <v>34</v>
      </c>
    </row>
    <row r="40" spans="1:34" x14ac:dyDescent="0.2">
      <c r="A40" s="61"/>
      <c r="B40" s="51"/>
      <c r="C40" s="51"/>
      <c r="D40" s="126" t="s">
        <v>358</v>
      </c>
      <c r="E40" s="261">
        <f t="shared" si="6"/>
        <v>0</v>
      </c>
      <c r="F40" s="872">
        <f>Paramètres!DS16</f>
        <v>33</v>
      </c>
      <c r="G40" s="872">
        <f>Paramètres!DT16</f>
        <v>33</v>
      </c>
      <c r="H40" s="204">
        <f t="shared" si="7"/>
        <v>0</v>
      </c>
      <c r="I40" s="866">
        <f>Paramètres!DV16</f>
        <v>11</v>
      </c>
      <c r="J40" s="870">
        <f>Paramètres!DW16</f>
        <v>11</v>
      </c>
      <c r="K40" s="258">
        <f t="shared" si="8"/>
        <v>0</v>
      </c>
      <c r="L40" s="872">
        <f>Paramètres!DY16</f>
        <v>50</v>
      </c>
      <c r="M40" s="981">
        <f>Paramètres!DZ16</f>
        <v>50</v>
      </c>
      <c r="N40" s="261">
        <f t="shared" si="9"/>
        <v>0</v>
      </c>
      <c r="O40" s="872">
        <f>Paramètres!DS37</f>
        <v>38</v>
      </c>
      <c r="P40" s="872">
        <f>Paramètres!DT37</f>
        <v>38</v>
      </c>
      <c r="Q40" s="204">
        <f t="shared" si="10"/>
        <v>0</v>
      </c>
      <c r="R40" s="866">
        <f>Paramètres!DV37</f>
        <v>12</v>
      </c>
      <c r="S40" s="870">
        <f>Paramètres!DW37</f>
        <v>12</v>
      </c>
      <c r="T40" s="258">
        <f t="shared" si="11"/>
        <v>0</v>
      </c>
      <c r="U40" s="872">
        <f>Paramètres!DY37</f>
        <v>56</v>
      </c>
      <c r="V40" s="981">
        <f>Paramètres!DZ37</f>
        <v>56</v>
      </c>
      <c r="W40" s="261">
        <f t="shared" si="12"/>
        <v>0</v>
      </c>
      <c r="X40" s="872">
        <f>Paramètres!DS58</f>
        <v>41</v>
      </c>
      <c r="Y40" s="872">
        <f>Paramètres!DT58</f>
        <v>41</v>
      </c>
      <c r="Z40" s="204">
        <f t="shared" si="13"/>
        <v>0</v>
      </c>
      <c r="AA40" s="866">
        <f>Paramètres!DV58</f>
        <v>14</v>
      </c>
      <c r="AB40" s="870">
        <f>Paramètres!DW58</f>
        <v>14</v>
      </c>
      <c r="AC40" s="258">
        <f t="shared" si="14"/>
        <v>0</v>
      </c>
      <c r="AD40" s="872">
        <f>Paramètres!DY58</f>
        <v>60</v>
      </c>
      <c r="AE40" s="981">
        <f>Paramètres!DZ58</f>
        <v>60</v>
      </c>
    </row>
    <row r="41" spans="1:34" x14ac:dyDescent="0.2">
      <c r="A41" s="61"/>
      <c r="B41" s="51"/>
      <c r="C41" s="130">
        <v>36</v>
      </c>
      <c r="D41" s="134">
        <v>5</v>
      </c>
      <c r="E41" s="277">
        <f t="shared" si="6"/>
        <v>22</v>
      </c>
      <c r="F41" s="877">
        <f>Paramètres!DS17</f>
        <v>28</v>
      </c>
      <c r="G41" s="877">
        <f>Paramètres!DT17</f>
        <v>50</v>
      </c>
      <c r="H41" s="279">
        <f t="shared" si="7"/>
        <v>14</v>
      </c>
      <c r="I41" s="881">
        <f>Paramètres!DV17</f>
        <v>9</v>
      </c>
      <c r="J41" s="917">
        <f>Paramètres!DW17</f>
        <v>23</v>
      </c>
      <c r="K41" s="278">
        <f t="shared" si="8"/>
        <v>29</v>
      </c>
      <c r="L41" s="877">
        <f>Paramètres!DY17</f>
        <v>41</v>
      </c>
      <c r="M41" s="985">
        <f>Paramètres!DZ17</f>
        <v>70</v>
      </c>
      <c r="N41" s="277">
        <f t="shared" si="9"/>
        <v>22</v>
      </c>
      <c r="O41" s="877">
        <f>Paramètres!DS38</f>
        <v>31</v>
      </c>
      <c r="P41" s="877">
        <f>Paramètres!DT38</f>
        <v>53</v>
      </c>
      <c r="Q41" s="279">
        <f t="shared" si="10"/>
        <v>15</v>
      </c>
      <c r="R41" s="881">
        <f>Paramètres!DV38</f>
        <v>10</v>
      </c>
      <c r="S41" s="917">
        <f>Paramètres!DW38</f>
        <v>25</v>
      </c>
      <c r="T41" s="278">
        <f t="shared" si="11"/>
        <v>31</v>
      </c>
      <c r="U41" s="877">
        <f>Paramètres!DY38</f>
        <v>46</v>
      </c>
      <c r="V41" s="985">
        <f>Paramètres!DZ38</f>
        <v>77</v>
      </c>
      <c r="W41" s="277">
        <f t="shared" si="12"/>
        <v>23</v>
      </c>
      <c r="X41" s="877">
        <f>Paramètres!DS59</f>
        <v>34</v>
      </c>
      <c r="Y41" s="877">
        <f>Paramètres!DT59</f>
        <v>57</v>
      </c>
      <c r="Z41" s="279">
        <f t="shared" si="13"/>
        <v>16</v>
      </c>
      <c r="AA41" s="881">
        <f>Paramètres!DV59</f>
        <v>11</v>
      </c>
      <c r="AB41" s="917">
        <f>Paramètres!DW59</f>
        <v>27</v>
      </c>
      <c r="AC41" s="278">
        <f t="shared" si="14"/>
        <v>35</v>
      </c>
      <c r="AD41" s="877">
        <f>Paramètres!DY59</f>
        <v>49</v>
      </c>
      <c r="AE41" s="985">
        <f>Paramètres!DZ59</f>
        <v>84</v>
      </c>
    </row>
    <row r="42" spans="1:34" x14ac:dyDescent="0.2">
      <c r="A42" s="61"/>
      <c r="B42" s="51"/>
      <c r="C42" s="51"/>
      <c r="D42" s="126">
        <v>6</v>
      </c>
      <c r="E42" s="261">
        <f t="shared" si="6"/>
        <v>19</v>
      </c>
      <c r="F42" s="872">
        <f>Paramètres!DS18</f>
        <v>34</v>
      </c>
      <c r="G42" s="872">
        <f>Paramètres!DT18</f>
        <v>53</v>
      </c>
      <c r="H42" s="204">
        <f t="shared" si="7"/>
        <v>12</v>
      </c>
      <c r="I42" s="866">
        <f>Paramètres!DV18</f>
        <v>11</v>
      </c>
      <c r="J42" s="870">
        <f>Paramètres!DW18</f>
        <v>23</v>
      </c>
      <c r="K42" s="258">
        <f t="shared" si="8"/>
        <v>25</v>
      </c>
      <c r="L42" s="872">
        <f>Paramètres!DY18</f>
        <v>48</v>
      </c>
      <c r="M42" s="981">
        <f>Paramètres!DZ18</f>
        <v>73</v>
      </c>
      <c r="N42" s="261">
        <f t="shared" si="9"/>
        <v>19</v>
      </c>
      <c r="O42" s="872">
        <f>Paramètres!DS39</f>
        <v>37</v>
      </c>
      <c r="P42" s="872">
        <f>Paramètres!DT39</f>
        <v>56</v>
      </c>
      <c r="Q42" s="204">
        <f t="shared" si="10"/>
        <v>13</v>
      </c>
      <c r="R42" s="866">
        <f>Paramètres!DV39</f>
        <v>12</v>
      </c>
      <c r="S42" s="870">
        <f>Paramètres!DW39</f>
        <v>25</v>
      </c>
      <c r="T42" s="258">
        <f t="shared" si="11"/>
        <v>27</v>
      </c>
      <c r="U42" s="872">
        <f>Paramètres!DY39</f>
        <v>55</v>
      </c>
      <c r="V42" s="981">
        <f>Paramètres!DZ39</f>
        <v>82</v>
      </c>
      <c r="W42" s="261">
        <f t="shared" si="12"/>
        <v>19</v>
      </c>
      <c r="X42" s="872">
        <f>Paramètres!DS60</f>
        <v>42</v>
      </c>
      <c r="Y42" s="872">
        <f>Paramètres!DT60</f>
        <v>61</v>
      </c>
      <c r="Z42" s="204">
        <f t="shared" si="13"/>
        <v>13</v>
      </c>
      <c r="AA42" s="866">
        <f>Paramètres!DV60</f>
        <v>14</v>
      </c>
      <c r="AB42" s="870">
        <f>Paramètres!DW60</f>
        <v>27</v>
      </c>
      <c r="AC42" s="258">
        <f t="shared" si="14"/>
        <v>30</v>
      </c>
      <c r="AD42" s="872">
        <f>Paramètres!DY60</f>
        <v>59</v>
      </c>
      <c r="AE42" s="981">
        <f>Paramètres!DZ60</f>
        <v>89</v>
      </c>
    </row>
    <row r="43" spans="1:34" x14ac:dyDescent="0.2">
      <c r="A43" s="61"/>
      <c r="B43" s="51"/>
      <c r="C43" s="51"/>
      <c r="D43" s="126">
        <v>7</v>
      </c>
      <c r="E43" s="261">
        <f t="shared" si="6"/>
        <v>16</v>
      </c>
      <c r="F43" s="872">
        <f>Paramètres!DS19</f>
        <v>39</v>
      </c>
      <c r="G43" s="872">
        <f>Paramètres!DT19</f>
        <v>55</v>
      </c>
      <c r="H43" s="204">
        <f t="shared" si="7"/>
        <v>10</v>
      </c>
      <c r="I43" s="866">
        <f>Paramètres!DV19</f>
        <v>13</v>
      </c>
      <c r="J43" s="870">
        <f>Paramètres!DW19</f>
        <v>23</v>
      </c>
      <c r="K43" s="258">
        <f t="shared" si="8"/>
        <v>20</v>
      </c>
      <c r="L43" s="872">
        <f>Paramètres!DY19</f>
        <v>56</v>
      </c>
      <c r="M43" s="981">
        <f>Paramètres!DZ19</f>
        <v>76</v>
      </c>
      <c r="N43" s="261">
        <f t="shared" si="9"/>
        <v>14</v>
      </c>
      <c r="O43" s="872">
        <f>Paramètres!DS40</f>
        <v>45</v>
      </c>
      <c r="P43" s="872">
        <f>Paramètres!DT40</f>
        <v>59</v>
      </c>
      <c r="Q43" s="204">
        <f t="shared" si="10"/>
        <v>11</v>
      </c>
      <c r="R43" s="866">
        <f>Paramètres!DV40</f>
        <v>14</v>
      </c>
      <c r="S43" s="870">
        <f>Paramètres!DW40</f>
        <v>25</v>
      </c>
      <c r="T43" s="258">
        <f t="shared" si="11"/>
        <v>22</v>
      </c>
      <c r="U43" s="872">
        <f>Paramètres!DY40</f>
        <v>64</v>
      </c>
      <c r="V43" s="981">
        <f>Paramètres!DZ40</f>
        <v>86</v>
      </c>
      <c r="W43" s="261">
        <f t="shared" si="12"/>
        <v>16</v>
      </c>
      <c r="X43" s="872">
        <f>Paramètres!DS61</f>
        <v>47</v>
      </c>
      <c r="Y43" s="872">
        <f>Paramètres!DT61</f>
        <v>63</v>
      </c>
      <c r="Z43" s="204">
        <f t="shared" si="13"/>
        <v>12</v>
      </c>
      <c r="AA43" s="866">
        <f>Paramètres!DV61</f>
        <v>15</v>
      </c>
      <c r="AB43" s="870">
        <f>Paramètres!DW61</f>
        <v>27</v>
      </c>
      <c r="AC43" s="258">
        <f t="shared" si="14"/>
        <v>25</v>
      </c>
      <c r="AD43" s="872">
        <f>Paramètres!DY61</f>
        <v>69</v>
      </c>
      <c r="AE43" s="981">
        <f>Paramètres!DZ61</f>
        <v>94</v>
      </c>
    </row>
    <row r="44" spans="1:34" ht="13.5" thickBot="1" x14ac:dyDescent="0.25">
      <c r="A44" s="72"/>
      <c r="B44" s="76"/>
      <c r="C44" s="76"/>
      <c r="D44" s="281">
        <v>8</v>
      </c>
      <c r="E44" s="263">
        <f t="shared" si="6"/>
        <v>13</v>
      </c>
      <c r="F44" s="878">
        <f>Paramètres!DS20</f>
        <v>45</v>
      </c>
      <c r="G44" s="878">
        <f>Paramètres!DT20</f>
        <v>58</v>
      </c>
      <c r="H44" s="206">
        <f>J44-I44</f>
        <v>8</v>
      </c>
      <c r="I44" s="882">
        <f>Paramètres!DV20</f>
        <v>15</v>
      </c>
      <c r="J44" s="918">
        <f>Paramètres!DW20</f>
        <v>23</v>
      </c>
      <c r="K44" s="264">
        <f>M44-L44</f>
        <v>16</v>
      </c>
      <c r="L44" s="878">
        <f>Paramètres!DY20</f>
        <v>64</v>
      </c>
      <c r="M44" s="986">
        <f>Paramètres!DZ20</f>
        <v>80</v>
      </c>
      <c r="N44" s="263">
        <f t="shared" si="9"/>
        <v>13</v>
      </c>
      <c r="O44" s="878">
        <f>Paramètres!DS41</f>
        <v>50</v>
      </c>
      <c r="P44" s="878">
        <f>Paramètres!DT41</f>
        <v>63</v>
      </c>
      <c r="Q44" s="206">
        <f t="shared" si="10"/>
        <v>9</v>
      </c>
      <c r="R44" s="882">
        <f>Paramètres!DV41</f>
        <v>16</v>
      </c>
      <c r="S44" s="918">
        <f>Paramètres!DW41</f>
        <v>25</v>
      </c>
      <c r="T44" s="264">
        <f t="shared" si="11"/>
        <v>18</v>
      </c>
      <c r="U44" s="878">
        <f>Paramètres!DY41</f>
        <v>73</v>
      </c>
      <c r="V44" s="986">
        <f>Paramètres!DZ41</f>
        <v>91</v>
      </c>
      <c r="W44" s="263">
        <f t="shared" si="12"/>
        <v>13</v>
      </c>
      <c r="X44" s="878">
        <f>Paramètres!DS62</f>
        <v>54</v>
      </c>
      <c r="Y44" s="878">
        <f>Paramètres!DT62</f>
        <v>67</v>
      </c>
      <c r="Z44" s="206">
        <f t="shared" si="13"/>
        <v>10</v>
      </c>
      <c r="AA44" s="882">
        <f>Paramètres!DV62</f>
        <v>18</v>
      </c>
      <c r="AB44" s="918">
        <f>Paramètres!DW62</f>
        <v>28</v>
      </c>
      <c r="AC44" s="264">
        <f t="shared" si="14"/>
        <v>20</v>
      </c>
      <c r="AD44" s="878">
        <f>Paramètres!DY62</f>
        <v>79</v>
      </c>
      <c r="AE44" s="986">
        <f>Paramètres!DZ62</f>
        <v>99</v>
      </c>
    </row>
    <row r="45" spans="1:34" ht="13.5" thickTop="1" x14ac:dyDescent="0.2"/>
    <row r="46" spans="1:34" x14ac:dyDescent="0.2">
      <c r="A46" s="14" t="s">
        <v>289</v>
      </c>
    </row>
    <row r="47" spans="1:34" ht="3" customHeight="1" thickBot="1" x14ac:dyDescent="0.25"/>
    <row r="48" spans="1:34" ht="13.5" thickTop="1" x14ac:dyDescent="0.2">
      <c r="E48" s="3435" t="s">
        <v>346</v>
      </c>
      <c r="F48" s="3436"/>
      <c r="G48" s="3436"/>
      <c r="H48" s="3436"/>
      <c r="I48" s="3436"/>
      <c r="J48" s="3436"/>
      <c r="K48" s="3436"/>
      <c r="L48" s="3436"/>
      <c r="M48" s="3437"/>
      <c r="N48" s="3435" t="s">
        <v>347</v>
      </c>
      <c r="O48" s="3436"/>
      <c r="P48" s="3436"/>
      <c r="Q48" s="3436"/>
      <c r="R48" s="3436"/>
      <c r="S48" s="3436"/>
      <c r="T48" s="3436"/>
      <c r="U48" s="3436"/>
      <c r="V48" s="3437"/>
      <c r="W48" s="3435" t="s">
        <v>348</v>
      </c>
      <c r="X48" s="3436"/>
      <c r="Y48" s="3436"/>
      <c r="Z48" s="3436"/>
      <c r="AA48" s="3436"/>
      <c r="AB48" s="3436"/>
      <c r="AC48" s="3436"/>
      <c r="AD48" s="3436"/>
      <c r="AE48" s="3437"/>
      <c r="AH48" s="188"/>
    </row>
    <row r="49" spans="1:34" x14ac:dyDescent="0.2">
      <c r="E49" s="3441" t="s">
        <v>256</v>
      </c>
      <c r="F49" s="3430"/>
      <c r="G49" s="3430"/>
      <c r="H49" s="3429" t="s">
        <v>257</v>
      </c>
      <c r="I49" s="3430"/>
      <c r="J49" s="3431"/>
      <c r="K49" s="3430" t="s">
        <v>756</v>
      </c>
      <c r="L49" s="3430"/>
      <c r="M49" s="3434"/>
      <c r="N49" s="3441" t="s">
        <v>256</v>
      </c>
      <c r="O49" s="3430"/>
      <c r="P49" s="3430"/>
      <c r="Q49" s="3429" t="s">
        <v>257</v>
      </c>
      <c r="R49" s="3430"/>
      <c r="S49" s="3431"/>
      <c r="T49" s="3430" t="s">
        <v>756</v>
      </c>
      <c r="U49" s="3430"/>
      <c r="V49" s="3434"/>
      <c r="W49" s="3441" t="s">
        <v>256</v>
      </c>
      <c r="X49" s="3430"/>
      <c r="Y49" s="3430"/>
      <c r="Z49" s="3429" t="s">
        <v>257</v>
      </c>
      <c r="AA49" s="3430"/>
      <c r="AB49" s="3431"/>
      <c r="AC49" s="3430" t="s">
        <v>756</v>
      </c>
      <c r="AD49" s="3430"/>
      <c r="AE49" s="3434"/>
      <c r="AH49" s="188"/>
    </row>
    <row r="50" spans="1:34" x14ac:dyDescent="0.2">
      <c r="B50" s="50" t="s">
        <v>353</v>
      </c>
      <c r="C50" s="50" t="s">
        <v>355</v>
      </c>
      <c r="D50" s="50" t="s">
        <v>344</v>
      </c>
      <c r="E50" s="110" t="s">
        <v>249</v>
      </c>
      <c r="F50" s="36" t="s">
        <v>247</v>
      </c>
      <c r="G50" s="36"/>
      <c r="H50" s="35" t="s">
        <v>249</v>
      </c>
      <c r="I50" s="36" t="s">
        <v>247</v>
      </c>
      <c r="J50" s="37"/>
      <c r="K50" s="36" t="s">
        <v>249</v>
      </c>
      <c r="L50" s="36" t="s">
        <v>247</v>
      </c>
      <c r="M50" s="109"/>
      <c r="N50" s="110" t="s">
        <v>249</v>
      </c>
      <c r="O50" s="36" t="s">
        <v>247</v>
      </c>
      <c r="P50" s="36"/>
      <c r="Q50" s="35" t="s">
        <v>249</v>
      </c>
      <c r="R50" s="36" t="s">
        <v>247</v>
      </c>
      <c r="S50" s="37"/>
      <c r="T50" s="36" t="s">
        <v>249</v>
      </c>
      <c r="U50" s="36" t="s">
        <v>247</v>
      </c>
      <c r="V50" s="109"/>
      <c r="W50" s="110" t="s">
        <v>249</v>
      </c>
      <c r="X50" s="36" t="s">
        <v>247</v>
      </c>
      <c r="Y50" s="36"/>
      <c r="Z50" s="35" t="s">
        <v>249</v>
      </c>
      <c r="AA50" s="36" t="s">
        <v>247</v>
      </c>
      <c r="AB50" s="37"/>
      <c r="AC50" s="36" t="s">
        <v>249</v>
      </c>
      <c r="AD50" s="36" t="s">
        <v>247</v>
      </c>
      <c r="AE50" s="109"/>
      <c r="AH50" s="188"/>
    </row>
    <row r="51" spans="1:34" ht="13.5" thickBot="1" x14ac:dyDescent="0.25">
      <c r="B51" s="177" t="s">
        <v>354</v>
      </c>
      <c r="C51" s="176" t="s">
        <v>356</v>
      </c>
      <c r="D51" s="51" t="s">
        <v>343</v>
      </c>
      <c r="E51" s="110" t="s">
        <v>248</v>
      </c>
      <c r="F51" s="36" t="s">
        <v>246</v>
      </c>
      <c r="G51" s="36" t="s">
        <v>244</v>
      </c>
      <c r="H51" s="35" t="s">
        <v>248</v>
      </c>
      <c r="I51" s="36" t="s">
        <v>246</v>
      </c>
      <c r="J51" s="37" t="s">
        <v>244</v>
      </c>
      <c r="K51" s="36" t="s">
        <v>248</v>
      </c>
      <c r="L51" s="36" t="s">
        <v>246</v>
      </c>
      <c r="M51" s="109" t="s">
        <v>244</v>
      </c>
      <c r="N51" s="110" t="s">
        <v>248</v>
      </c>
      <c r="O51" s="36" t="s">
        <v>246</v>
      </c>
      <c r="P51" s="36" t="s">
        <v>244</v>
      </c>
      <c r="Q51" s="35" t="s">
        <v>248</v>
      </c>
      <c r="R51" s="36" t="s">
        <v>246</v>
      </c>
      <c r="S51" s="37" t="s">
        <v>244</v>
      </c>
      <c r="T51" s="36" t="s">
        <v>248</v>
      </c>
      <c r="U51" s="36" t="s">
        <v>246</v>
      </c>
      <c r="V51" s="109" t="s">
        <v>244</v>
      </c>
      <c r="W51" s="110" t="s">
        <v>248</v>
      </c>
      <c r="X51" s="36" t="s">
        <v>246</v>
      </c>
      <c r="Y51" s="36" t="s">
        <v>244</v>
      </c>
      <c r="Z51" s="35" t="s">
        <v>248</v>
      </c>
      <c r="AA51" s="36" t="s">
        <v>246</v>
      </c>
      <c r="AB51" s="37" t="s">
        <v>244</v>
      </c>
      <c r="AC51" s="36" t="s">
        <v>248</v>
      </c>
      <c r="AD51" s="36" t="s">
        <v>246</v>
      </c>
      <c r="AE51" s="109" t="s">
        <v>244</v>
      </c>
      <c r="AH51" s="188"/>
    </row>
    <row r="52" spans="1:34" ht="13.5" thickTop="1" x14ac:dyDescent="0.2">
      <c r="A52" s="252" t="s">
        <v>345</v>
      </c>
      <c r="B52" s="253"/>
      <c r="C52" s="254"/>
      <c r="D52" s="282">
        <v>5</v>
      </c>
      <c r="E52" s="283"/>
      <c r="F52" s="284"/>
      <c r="G52" s="284"/>
      <c r="H52" s="286"/>
      <c r="I52" s="284"/>
      <c r="J52" s="285"/>
      <c r="K52" s="287"/>
      <c r="L52" s="284"/>
      <c r="M52" s="285"/>
      <c r="N52" s="283"/>
      <c r="O52" s="284"/>
      <c r="P52" s="284"/>
      <c r="Q52" s="286"/>
      <c r="R52" s="284"/>
      <c r="S52" s="285"/>
      <c r="T52" s="287"/>
      <c r="U52" s="284"/>
      <c r="V52" s="285"/>
      <c r="W52" s="283"/>
      <c r="X52" s="284"/>
      <c r="Y52" s="284"/>
      <c r="Z52" s="286"/>
      <c r="AA52" s="284"/>
      <c r="AB52" s="285"/>
      <c r="AC52" s="287"/>
      <c r="AD52" s="284"/>
      <c r="AE52" s="288"/>
      <c r="AH52" s="188"/>
    </row>
    <row r="53" spans="1:34" x14ac:dyDescent="0.2">
      <c r="A53" s="257" t="s">
        <v>342</v>
      </c>
      <c r="B53" s="258"/>
      <c r="C53" s="259"/>
      <c r="D53" s="260" t="s">
        <v>361</v>
      </c>
      <c r="E53" s="289"/>
      <c r="F53" s="290">
        <f>(F33-F31)/($D33-$D31)</f>
        <v>7</v>
      </c>
      <c r="G53" s="290">
        <f>(G33-G31)/($D33-$D31)</f>
        <v>7</v>
      </c>
      <c r="H53" s="292"/>
      <c r="I53" s="290">
        <f>(I33-I31)/($D33-$D31)</f>
        <v>3.25</v>
      </c>
      <c r="J53" s="291">
        <f>(J33-J31)/($D33-$D31)</f>
        <v>2.5</v>
      </c>
      <c r="K53" s="293"/>
      <c r="L53" s="290">
        <f>(L33-L31)/($D33-$D31)</f>
        <v>13</v>
      </c>
      <c r="M53" s="291">
        <f>(M33-M31)/($D33-$D31)</f>
        <v>6.5</v>
      </c>
      <c r="N53" s="289"/>
      <c r="O53" s="290">
        <f>(O33-O31)/($D33-$D31)</f>
        <v>8</v>
      </c>
      <c r="P53" s="290">
        <f>(P33-P31)/($D33-$D31)</f>
        <v>6.5</v>
      </c>
      <c r="Q53" s="292"/>
      <c r="R53" s="290">
        <f>(R33-R31)/($D33-$D31)</f>
        <v>2.25</v>
      </c>
      <c r="S53" s="291">
        <f>(S33-S31)/($D33-$D31)</f>
        <v>1.5</v>
      </c>
      <c r="T53" s="293"/>
      <c r="U53" s="290">
        <f>(U33-U31)/($D33-$D31)</f>
        <v>15</v>
      </c>
      <c r="V53" s="291">
        <f>(V33-V31)/($D33-$D31)</f>
        <v>8.5</v>
      </c>
      <c r="W53" s="289"/>
      <c r="X53" s="290">
        <f>(X33-X31)/($D33-$D31)</f>
        <v>10</v>
      </c>
      <c r="Y53" s="290">
        <f>(Y33-Y31)/($D33-$D31)</f>
        <v>6.5</v>
      </c>
      <c r="Z53" s="292"/>
      <c r="AA53" s="290">
        <f>(AA33-AA31)/($D33-$D31)</f>
        <v>1.5</v>
      </c>
      <c r="AB53" s="291">
        <f>(AB33-AB31)/($D33-$D31)</f>
        <v>1</v>
      </c>
      <c r="AC53" s="293"/>
      <c r="AD53" s="290">
        <f>(AD33-AD31)/($D33-$D31)</f>
        <v>17</v>
      </c>
      <c r="AE53" s="294">
        <f>(AE33-AE31)/($D33-$D31)</f>
        <v>9.5</v>
      </c>
      <c r="AF53" s="295" t="s">
        <v>290</v>
      </c>
      <c r="AG53" s="295"/>
      <c r="AH53" s="188"/>
    </row>
    <row r="54" spans="1:34" ht="13.5" thickBot="1" x14ac:dyDescent="0.25">
      <c r="A54" s="262"/>
      <c r="B54" s="258"/>
      <c r="C54" s="259"/>
      <c r="D54" s="260"/>
      <c r="E54" s="289"/>
      <c r="F54" s="296">
        <f>F33-F53*$D33</f>
        <v>0</v>
      </c>
      <c r="G54" s="296">
        <f>G33-G53*$D33</f>
        <v>15</v>
      </c>
      <c r="H54" s="292"/>
      <c r="I54" s="297">
        <f>I33-I53*$D33</f>
        <v>-7.5</v>
      </c>
      <c r="J54" s="298">
        <f>J33-J53*$D33</f>
        <v>14</v>
      </c>
      <c r="K54" s="293"/>
      <c r="L54" s="297">
        <f>L33-L53*$D33</f>
        <v>-12</v>
      </c>
      <c r="M54" s="298">
        <f>M33-M53*$D33</f>
        <v>56</v>
      </c>
      <c r="N54" s="289"/>
      <c r="O54" s="296">
        <f>O33-O53*$D33</f>
        <v>4</v>
      </c>
      <c r="P54" s="296">
        <f>P33-P53*$D33</f>
        <v>30</v>
      </c>
      <c r="Q54" s="292"/>
      <c r="R54" s="297">
        <f>R33-R53*$D33</f>
        <v>4</v>
      </c>
      <c r="S54" s="298">
        <f>S33-S53*$D33</f>
        <v>23</v>
      </c>
      <c r="T54" s="293"/>
      <c r="U54" s="297">
        <f>U33-U53*$D33</f>
        <v>-12</v>
      </c>
      <c r="V54" s="298">
        <f>V33-V53*$D33</f>
        <v>59</v>
      </c>
      <c r="W54" s="289"/>
      <c r="X54" s="296">
        <f>X33-X53*$D33</f>
        <v>0</v>
      </c>
      <c r="Y54" s="296">
        <f>Y33-Y53*$D33</f>
        <v>43</v>
      </c>
      <c r="Z54" s="292"/>
      <c r="AA54" s="297">
        <f>AA33-AA53*$D33</f>
        <v>23</v>
      </c>
      <c r="AB54" s="298">
        <f>AB33-AB53*$D33</f>
        <v>30</v>
      </c>
      <c r="AC54" s="293"/>
      <c r="AD54" s="297">
        <f>AD33-AD53*$D33</f>
        <v>-13</v>
      </c>
      <c r="AE54" s="299">
        <f>AE33-AE53*$D33</f>
        <v>67</v>
      </c>
      <c r="AF54" s="295" t="s">
        <v>291</v>
      </c>
      <c r="AG54" s="295"/>
      <c r="AH54" s="188"/>
    </row>
    <row r="55" spans="1:34" ht="13.5" thickTop="1" x14ac:dyDescent="0.2">
      <c r="A55" s="1346" t="s">
        <v>351</v>
      </c>
      <c r="B55" s="81">
        <v>1</v>
      </c>
      <c r="C55" s="300"/>
      <c r="D55" s="301"/>
      <c r="E55" s="302"/>
      <c r="F55" s="303"/>
      <c r="G55" s="303"/>
      <c r="H55" s="398"/>
      <c r="I55" s="303"/>
      <c r="J55" s="645"/>
      <c r="K55" s="307"/>
      <c r="L55" s="303"/>
      <c r="M55" s="303"/>
      <c r="N55" s="302"/>
      <c r="O55" s="303"/>
      <c r="P55" s="303"/>
      <c r="Q55" s="398"/>
      <c r="R55" s="303"/>
      <c r="S55" s="645"/>
      <c r="T55" s="307"/>
      <c r="U55" s="303"/>
      <c r="V55" s="303"/>
      <c r="W55" s="302"/>
      <c r="X55" s="303"/>
      <c r="Y55" s="303"/>
      <c r="Z55" s="398"/>
      <c r="AA55" s="303"/>
      <c r="AB55" s="645"/>
      <c r="AC55" s="307"/>
      <c r="AD55" s="303"/>
      <c r="AE55" s="308"/>
      <c r="AH55" s="188"/>
    </row>
    <row r="56" spans="1:34" x14ac:dyDescent="0.2">
      <c r="A56" s="125" t="s">
        <v>352</v>
      </c>
      <c r="B56" s="50">
        <v>2</v>
      </c>
      <c r="C56" s="50"/>
      <c r="D56" s="212"/>
      <c r="E56" s="309"/>
      <c r="F56" s="310">
        <f>(F38-F35)/($D38-$D35)</f>
        <v>4</v>
      </c>
      <c r="G56" s="310">
        <f>(G38-G35)/($D38-$D35)</f>
        <v>2</v>
      </c>
      <c r="H56" s="408"/>
      <c r="I56" s="310">
        <f>(I38-I35)/($D38-$D35)</f>
        <v>1.1666666666666667</v>
      </c>
      <c r="J56" s="535">
        <f>(J38-J35)/($D38-$D35)</f>
        <v>0.33333333333333331</v>
      </c>
      <c r="K56" s="314"/>
      <c r="L56" s="310">
        <f>(L38-L35)/($D38-$D35)</f>
        <v>5.666666666666667</v>
      </c>
      <c r="M56" s="310">
        <f>(M38-M35)/($D38-$D35)</f>
        <v>3</v>
      </c>
      <c r="N56" s="309"/>
      <c r="O56" s="310">
        <f>(O38-O35)/($D38-$D35)</f>
        <v>4.666666666666667</v>
      </c>
      <c r="P56" s="310">
        <f>(P38-P35)/($D38-$D35)</f>
        <v>3.6666666666666665</v>
      </c>
      <c r="Q56" s="408"/>
      <c r="R56" s="310">
        <f>(R38-R35)/($D38-$D35)</f>
        <v>1.6666666666666667</v>
      </c>
      <c r="S56" s="535">
        <f>(S38-S35)/($D38-$D35)</f>
        <v>0.5</v>
      </c>
      <c r="T56" s="314"/>
      <c r="U56" s="310">
        <f>(U38-U35)/($D38-$D35)</f>
        <v>6.666666666666667</v>
      </c>
      <c r="V56" s="310">
        <f>(V38-V35)/($D38-$D35)</f>
        <v>3.6666666666666665</v>
      </c>
      <c r="W56" s="309"/>
      <c r="X56" s="310">
        <f>(X38-X35)/($D38-$D35)</f>
        <v>4.666666666666667</v>
      </c>
      <c r="Y56" s="310">
        <f>(Y38-Y35)/($D38-$D35)</f>
        <v>4.666666666666667</v>
      </c>
      <c r="Z56" s="408"/>
      <c r="AA56" s="310">
        <f>(AA38-AA35)/($D38-$D35)</f>
        <v>1.5</v>
      </c>
      <c r="AB56" s="650">
        <f>(AB38-AB35)/($D38-$D35)</f>
        <v>0.66666666666666663</v>
      </c>
      <c r="AC56" s="314"/>
      <c r="AD56" s="310">
        <f>(AD38-AD35)/($D38-$D35)</f>
        <v>7.333333333333333</v>
      </c>
      <c r="AE56" s="315">
        <f>(AE38-AE35)/($D38-$D35)</f>
        <v>3.6666666666666665</v>
      </c>
      <c r="AF56" s="295" t="s">
        <v>290</v>
      </c>
      <c r="AG56" s="295"/>
      <c r="AH56" s="188"/>
    </row>
    <row r="57" spans="1:34" x14ac:dyDescent="0.2">
      <c r="A57" s="61"/>
      <c r="B57" s="51"/>
      <c r="C57" s="51"/>
      <c r="D57" s="126"/>
      <c r="E57" s="289"/>
      <c r="F57" s="296">
        <f>F38-F56*$D38</f>
        <v>0</v>
      </c>
      <c r="G57" s="296">
        <f>G38-G56*$D38</f>
        <v>25</v>
      </c>
      <c r="H57" s="292"/>
      <c r="I57" s="297">
        <f>I38-I56*$D38</f>
        <v>0.66666666666666607</v>
      </c>
      <c r="J57" s="298">
        <f>J38-J56*$D38</f>
        <v>14.333333333333334</v>
      </c>
      <c r="K57" s="293"/>
      <c r="L57" s="297">
        <f>L38-L56*$D38</f>
        <v>0.6666666666666643</v>
      </c>
      <c r="M57" s="297">
        <f>M38-M56*$D38</f>
        <v>33</v>
      </c>
      <c r="N57" s="289"/>
      <c r="O57" s="296">
        <f>O38-O56*$D38</f>
        <v>-0.3333333333333357</v>
      </c>
      <c r="P57" s="296">
        <f>P38-P56*$D38</f>
        <v>18.666666666666668</v>
      </c>
      <c r="Q57" s="292"/>
      <c r="R57" s="297">
        <f>R38-R56*$D38</f>
        <v>-1.3333333333333339</v>
      </c>
      <c r="S57" s="298">
        <f>S38-S56*$D38</f>
        <v>15</v>
      </c>
      <c r="T57" s="293"/>
      <c r="U57" s="297">
        <f>U38-U56*$D38</f>
        <v>0.6666666666666643</v>
      </c>
      <c r="V57" s="297">
        <f>V38-V56*$D38</f>
        <v>37.666666666666671</v>
      </c>
      <c r="W57" s="289"/>
      <c r="X57" s="296">
        <f>X38-X56*$D38</f>
        <v>2.6666666666666643</v>
      </c>
      <c r="Y57" s="296">
        <f>Y38-Y56*$D38</f>
        <v>17.666666666666664</v>
      </c>
      <c r="Z57" s="292"/>
      <c r="AA57" s="297">
        <f>AA38-AA56*$D38</f>
        <v>1</v>
      </c>
      <c r="AB57" s="651">
        <f>AB38-AB56*$D38</f>
        <v>16.666666666666668</v>
      </c>
      <c r="AC57" s="293"/>
      <c r="AD57" s="297">
        <f>AD38-AD56*$D38</f>
        <v>0.3333333333333357</v>
      </c>
      <c r="AE57" s="318">
        <f>AE38-AE56*$D38</f>
        <v>43.666666666666671</v>
      </c>
      <c r="AF57" s="295" t="s">
        <v>291</v>
      </c>
      <c r="AG57" s="295"/>
      <c r="AH57" s="188"/>
    </row>
    <row r="58" spans="1:34" x14ac:dyDescent="0.2">
      <c r="A58" s="61"/>
      <c r="B58" s="50">
        <v>3</v>
      </c>
      <c r="C58" s="319" t="s">
        <v>357</v>
      </c>
      <c r="D58" s="320" t="s">
        <v>258</v>
      </c>
      <c r="E58" s="309"/>
      <c r="F58" s="321"/>
      <c r="G58" s="321"/>
      <c r="H58" s="408"/>
      <c r="I58" s="321"/>
      <c r="J58" s="646"/>
      <c r="K58" s="314"/>
      <c r="L58" s="321"/>
      <c r="M58" s="321"/>
      <c r="N58" s="309"/>
      <c r="O58" s="321"/>
      <c r="P58" s="321"/>
      <c r="Q58" s="408"/>
      <c r="R58" s="321"/>
      <c r="S58" s="646"/>
      <c r="T58" s="314"/>
      <c r="U58" s="321"/>
      <c r="V58" s="321"/>
      <c r="W58" s="309"/>
      <c r="X58" s="321"/>
      <c r="Y58" s="321"/>
      <c r="Z58" s="408"/>
      <c r="AA58" s="321"/>
      <c r="AB58" s="646"/>
      <c r="AC58" s="314"/>
      <c r="AD58" s="321"/>
      <c r="AE58" s="322"/>
      <c r="AH58" s="188"/>
    </row>
    <row r="59" spans="1:34" x14ac:dyDescent="0.2">
      <c r="A59" s="61"/>
      <c r="B59" s="51"/>
      <c r="C59" s="323"/>
      <c r="D59" s="324" t="s">
        <v>358</v>
      </c>
      <c r="E59" s="289"/>
      <c r="F59" s="325"/>
      <c r="G59" s="325"/>
      <c r="H59" s="292"/>
      <c r="I59" s="325"/>
      <c r="J59" s="647"/>
      <c r="K59" s="293"/>
      <c r="L59" s="325"/>
      <c r="M59" s="325"/>
      <c r="N59" s="289"/>
      <c r="O59" s="325"/>
      <c r="P59" s="325"/>
      <c r="Q59" s="292"/>
      <c r="R59" s="325"/>
      <c r="S59" s="647"/>
      <c r="T59" s="293"/>
      <c r="U59" s="325"/>
      <c r="V59" s="325"/>
      <c r="W59" s="289"/>
      <c r="X59" s="325"/>
      <c r="Y59" s="325"/>
      <c r="Z59" s="292"/>
      <c r="AA59" s="325"/>
      <c r="AB59" s="647"/>
      <c r="AC59" s="293"/>
      <c r="AD59" s="325"/>
      <c r="AE59" s="326"/>
      <c r="AH59" s="188"/>
    </row>
    <row r="60" spans="1:34" x14ac:dyDescent="0.2">
      <c r="A60" s="61"/>
      <c r="B60" s="51"/>
      <c r="C60" s="130">
        <v>36</v>
      </c>
      <c r="D60" s="134"/>
      <c r="E60" s="327"/>
      <c r="F60" s="328">
        <f>(F44-F41)/($D44-$D41)</f>
        <v>5.666666666666667</v>
      </c>
      <c r="G60" s="328">
        <f>(G44-G41)/($D44-$D41)</f>
        <v>2.6666666666666665</v>
      </c>
      <c r="H60" s="445"/>
      <c r="I60" s="328">
        <f>(I44-I41)/($D44-$D41)</f>
        <v>2</v>
      </c>
      <c r="J60" s="648">
        <f>(J44-J41)/($D44-$D41)</f>
        <v>0</v>
      </c>
      <c r="K60" s="329"/>
      <c r="L60" s="328">
        <f>(L44-L41)/($D44-$D41)</f>
        <v>7.666666666666667</v>
      </c>
      <c r="M60" s="328">
        <f>(M44-M41)/($D44-$D41)</f>
        <v>3.3333333333333335</v>
      </c>
      <c r="N60" s="327"/>
      <c r="O60" s="328">
        <f>(O44-O41)/($D44-$D41)</f>
        <v>6.333333333333333</v>
      </c>
      <c r="P60" s="328">
        <f>(P44-P41)/($D44-$D41)</f>
        <v>3.3333333333333335</v>
      </c>
      <c r="Q60" s="445"/>
      <c r="R60" s="328">
        <f>(R44-R41)/($D44-$D41)</f>
        <v>2</v>
      </c>
      <c r="S60" s="648">
        <f>(S44-S41)/($D44-$D41)</f>
        <v>0</v>
      </c>
      <c r="T60" s="329"/>
      <c r="U60" s="328">
        <f>(U44-U41)/($D44-$D41)</f>
        <v>9</v>
      </c>
      <c r="V60" s="328">
        <f>(V44-V41)/($D44-$D41)</f>
        <v>4.666666666666667</v>
      </c>
      <c r="W60" s="327"/>
      <c r="X60" s="328">
        <f>(X44-X41)/($D44-$D41)</f>
        <v>6.666666666666667</v>
      </c>
      <c r="Y60" s="328">
        <f>(Y44-Y41)/($D44-$D41)</f>
        <v>3.3333333333333335</v>
      </c>
      <c r="Z60" s="445"/>
      <c r="AA60" s="328">
        <f>(AA44-AA41)/($D44-$D41)</f>
        <v>2.3333333333333335</v>
      </c>
      <c r="AB60" s="648">
        <f>(AB44-AB41)/($D44-$D41)</f>
        <v>0.33333333333333331</v>
      </c>
      <c r="AC60" s="329"/>
      <c r="AD60" s="328">
        <f>(AD44-AD41)/($D44-$D41)</f>
        <v>10</v>
      </c>
      <c r="AE60" s="330">
        <f>(AE44-AE41)/($D44-$D41)</f>
        <v>5</v>
      </c>
      <c r="AF60" s="295" t="s">
        <v>290</v>
      </c>
      <c r="AG60" s="295"/>
      <c r="AH60" s="188"/>
    </row>
    <row r="61" spans="1:34" ht="13.5" thickBot="1" x14ac:dyDescent="0.25">
      <c r="A61" s="72"/>
      <c r="B61" s="76"/>
      <c r="C61" s="76"/>
      <c r="D61" s="281"/>
      <c r="E61" s="331"/>
      <c r="F61" s="332">
        <f>F44-F60*$D44</f>
        <v>-0.3333333333333357</v>
      </c>
      <c r="G61" s="332">
        <f>G44-G60*$D44</f>
        <v>36.666666666666671</v>
      </c>
      <c r="H61" s="511"/>
      <c r="I61" s="334">
        <f>I44-I60*$D44</f>
        <v>-1</v>
      </c>
      <c r="J61" s="649">
        <f>J44-J60*$D44</f>
        <v>23</v>
      </c>
      <c r="K61" s="333"/>
      <c r="L61" s="334">
        <f>L44-L60*$D44</f>
        <v>2.6666666666666643</v>
      </c>
      <c r="M61" s="334">
        <f>M44-M60*$D44</f>
        <v>53.333333333333329</v>
      </c>
      <c r="N61" s="331"/>
      <c r="O61" s="332">
        <f>O44-O60*$D44</f>
        <v>-0.6666666666666643</v>
      </c>
      <c r="P61" s="332">
        <f>P44-P60*$D44</f>
        <v>36.333333333333329</v>
      </c>
      <c r="Q61" s="511"/>
      <c r="R61" s="334">
        <f>R44-R60*$D44</f>
        <v>0</v>
      </c>
      <c r="S61" s="649">
        <f>S44-S60*$D44</f>
        <v>25</v>
      </c>
      <c r="T61" s="333"/>
      <c r="U61" s="334">
        <f>U44-U60*$D44</f>
        <v>1</v>
      </c>
      <c r="V61" s="334">
        <f>V44-V60*$D44</f>
        <v>53.666666666666664</v>
      </c>
      <c r="W61" s="331"/>
      <c r="X61" s="332">
        <f>X44-X60*$D44</f>
        <v>0.6666666666666643</v>
      </c>
      <c r="Y61" s="332">
        <f>Y44-Y60*$D44</f>
        <v>40.333333333333329</v>
      </c>
      <c r="Z61" s="511"/>
      <c r="AA61" s="334">
        <f>AA44-AA60*$D44</f>
        <v>-0.66666666666666785</v>
      </c>
      <c r="AB61" s="649">
        <f>AB44-AB60*$D44</f>
        <v>25.333333333333332</v>
      </c>
      <c r="AC61" s="333"/>
      <c r="AD61" s="334">
        <f>AD44-AD60*$D44</f>
        <v>-1</v>
      </c>
      <c r="AE61" s="335">
        <f>AE44-AE60*$D44</f>
        <v>59</v>
      </c>
      <c r="AF61" s="295" t="s">
        <v>291</v>
      </c>
      <c r="AG61" s="295"/>
      <c r="AH61" s="188"/>
    </row>
    <row r="62" spans="1:34" ht="13.5" thickTop="1" x14ac:dyDescent="0.2">
      <c r="AH62" s="188"/>
    </row>
    <row r="63" spans="1:34" x14ac:dyDescent="0.2">
      <c r="A63" s="14" t="s">
        <v>359</v>
      </c>
      <c r="AH63" s="188"/>
    </row>
    <row r="64" spans="1:34" ht="3" customHeight="1" thickBot="1" x14ac:dyDescent="0.25">
      <c r="AH64" s="188"/>
    </row>
    <row r="65" spans="1:38" ht="13.5" thickTop="1" x14ac:dyDescent="0.2">
      <c r="E65" s="3435" t="s">
        <v>346</v>
      </c>
      <c r="F65" s="3436"/>
      <c r="G65" s="3436"/>
      <c r="H65" s="3436"/>
      <c r="I65" s="3436"/>
      <c r="J65" s="3436"/>
      <c r="K65" s="3436"/>
      <c r="L65" s="3436"/>
      <c r="M65" s="3437"/>
      <c r="N65" s="3435" t="s">
        <v>347</v>
      </c>
      <c r="O65" s="3436"/>
      <c r="P65" s="3436"/>
      <c r="Q65" s="3436"/>
      <c r="R65" s="3436"/>
      <c r="S65" s="3436"/>
      <c r="T65" s="3436"/>
      <c r="U65" s="3436"/>
      <c r="V65" s="3437"/>
      <c r="W65" s="3435" t="s">
        <v>348</v>
      </c>
      <c r="X65" s="3436"/>
      <c r="Y65" s="3436"/>
      <c r="Z65" s="3436"/>
      <c r="AA65" s="3436"/>
      <c r="AB65" s="3436"/>
      <c r="AC65" s="3436"/>
      <c r="AD65" s="3436"/>
      <c r="AE65" s="3437"/>
    </row>
    <row r="66" spans="1:38" x14ac:dyDescent="0.2">
      <c r="E66" s="3441" t="s">
        <v>256</v>
      </c>
      <c r="F66" s="3430"/>
      <c r="G66" s="3431"/>
      <c r="H66" s="3429" t="s">
        <v>257</v>
      </c>
      <c r="I66" s="3430"/>
      <c r="J66" s="3434"/>
      <c r="K66" s="3429" t="s">
        <v>756</v>
      </c>
      <c r="L66" s="3430"/>
      <c r="M66" s="3434"/>
      <c r="N66" s="3441" t="s">
        <v>256</v>
      </c>
      <c r="O66" s="3430"/>
      <c r="P66" s="3430"/>
      <c r="Q66" s="3429" t="s">
        <v>257</v>
      </c>
      <c r="R66" s="3430"/>
      <c r="S66" s="3431"/>
      <c r="T66" s="3430" t="s">
        <v>756</v>
      </c>
      <c r="U66" s="3430"/>
      <c r="V66" s="3434"/>
      <c r="W66" s="3441" t="s">
        <v>256</v>
      </c>
      <c r="X66" s="3430"/>
      <c r="Y66" s="3430"/>
      <c r="Z66" s="3429" t="s">
        <v>257</v>
      </c>
      <c r="AA66" s="3430"/>
      <c r="AB66" s="3431"/>
      <c r="AC66" s="3430" t="s">
        <v>756</v>
      </c>
      <c r="AD66" s="3430"/>
      <c r="AE66" s="3434"/>
    </row>
    <row r="67" spans="1:38" x14ac:dyDescent="0.2">
      <c r="B67" s="50" t="s">
        <v>353</v>
      </c>
      <c r="C67" s="50" t="s">
        <v>355</v>
      </c>
      <c r="D67" s="50" t="s">
        <v>344</v>
      </c>
      <c r="E67" s="110" t="s">
        <v>249</v>
      </c>
      <c r="F67" s="36" t="s">
        <v>247</v>
      </c>
      <c r="G67" s="36"/>
      <c r="H67" s="35" t="s">
        <v>249</v>
      </c>
      <c r="I67" s="36" t="s">
        <v>247</v>
      </c>
      <c r="J67" s="109"/>
      <c r="K67" s="35" t="s">
        <v>249</v>
      </c>
      <c r="L67" s="36" t="s">
        <v>247</v>
      </c>
      <c r="M67" s="109"/>
      <c r="N67" s="110" t="s">
        <v>249</v>
      </c>
      <c r="O67" s="36" t="s">
        <v>247</v>
      </c>
      <c r="P67" s="36"/>
      <c r="Q67" s="35" t="s">
        <v>249</v>
      </c>
      <c r="R67" s="36" t="s">
        <v>247</v>
      </c>
      <c r="S67" s="37"/>
      <c r="T67" s="36" t="s">
        <v>249</v>
      </c>
      <c r="U67" s="36" t="s">
        <v>247</v>
      </c>
      <c r="V67" s="109"/>
      <c r="W67" s="110" t="s">
        <v>249</v>
      </c>
      <c r="X67" s="36" t="s">
        <v>247</v>
      </c>
      <c r="Y67" s="36"/>
      <c r="Z67" s="35" t="s">
        <v>249</v>
      </c>
      <c r="AA67" s="36" t="s">
        <v>247</v>
      </c>
      <c r="AB67" s="37"/>
      <c r="AC67" s="36" t="s">
        <v>249</v>
      </c>
      <c r="AD67" s="36" t="s">
        <v>247</v>
      </c>
      <c r="AE67" s="109"/>
    </row>
    <row r="68" spans="1:38" ht="13.5" thickBot="1" x14ac:dyDescent="0.25">
      <c r="B68" s="177" t="s">
        <v>354</v>
      </c>
      <c r="C68" s="176" t="s">
        <v>356</v>
      </c>
      <c r="D68" s="51" t="s">
        <v>343</v>
      </c>
      <c r="E68" s="110" t="s">
        <v>248</v>
      </c>
      <c r="F68" s="36" t="s">
        <v>246</v>
      </c>
      <c r="G68" s="36" t="s">
        <v>244</v>
      </c>
      <c r="H68" s="35" t="s">
        <v>248</v>
      </c>
      <c r="I68" s="36" t="s">
        <v>246</v>
      </c>
      <c r="J68" s="109" t="s">
        <v>244</v>
      </c>
      <c r="K68" s="35" t="s">
        <v>248</v>
      </c>
      <c r="L68" s="36" t="s">
        <v>246</v>
      </c>
      <c r="M68" s="109" t="s">
        <v>244</v>
      </c>
      <c r="N68" s="110" t="s">
        <v>248</v>
      </c>
      <c r="O68" s="36" t="s">
        <v>246</v>
      </c>
      <c r="P68" s="36" t="s">
        <v>244</v>
      </c>
      <c r="Q68" s="35" t="s">
        <v>248</v>
      </c>
      <c r="R68" s="36" t="s">
        <v>246</v>
      </c>
      <c r="S68" s="37" t="s">
        <v>244</v>
      </c>
      <c r="T68" s="36" t="s">
        <v>248</v>
      </c>
      <c r="U68" s="36" t="s">
        <v>246</v>
      </c>
      <c r="V68" s="109" t="s">
        <v>244</v>
      </c>
      <c r="W68" s="110" t="s">
        <v>248</v>
      </c>
      <c r="X68" s="36" t="s">
        <v>246</v>
      </c>
      <c r="Y68" s="36" t="s">
        <v>244</v>
      </c>
      <c r="Z68" s="35" t="s">
        <v>248</v>
      </c>
      <c r="AA68" s="36" t="s">
        <v>246</v>
      </c>
      <c r="AB68" s="37" t="s">
        <v>244</v>
      </c>
      <c r="AC68" s="36" t="s">
        <v>248</v>
      </c>
      <c r="AD68" s="36" t="s">
        <v>246</v>
      </c>
      <c r="AE68" s="109" t="s">
        <v>244</v>
      </c>
      <c r="AF68" s="171" t="s">
        <v>391</v>
      </c>
      <c r="AG68" s="336"/>
      <c r="AH68" s="336"/>
    </row>
    <row r="69" spans="1:38" ht="13.5" thickTop="1" x14ac:dyDescent="0.2">
      <c r="A69" s="252" t="s">
        <v>345</v>
      </c>
      <c r="B69" s="253"/>
      <c r="C69" s="254"/>
      <c r="D69" s="255">
        <v>5</v>
      </c>
      <c r="E69" s="337">
        <f>G69-F69</f>
        <v>0</v>
      </c>
      <c r="F69" s="191">
        <f>F30*F$72*$AF69</f>
        <v>0</v>
      </c>
      <c r="G69" s="191">
        <f>G30*G$72*$AF69</f>
        <v>0</v>
      </c>
      <c r="H69" s="193">
        <f>J69-I69</f>
        <v>0</v>
      </c>
      <c r="I69" s="194">
        <f>I30*I$72*$AF69</f>
        <v>0</v>
      </c>
      <c r="J69" s="340">
        <f>J30*J$72*$AF69</f>
        <v>0</v>
      </c>
      <c r="K69" s="194">
        <f>M69-L69</f>
        <v>0</v>
      </c>
      <c r="L69" s="194">
        <f>L30*L$72*$AF69</f>
        <v>0</v>
      </c>
      <c r="M69" s="340">
        <f>M30*M$72*$AF69</f>
        <v>0</v>
      </c>
      <c r="N69" s="337">
        <f>P69-O69</f>
        <v>0</v>
      </c>
      <c r="O69" s="191">
        <f>O30*O$72*$AF69</f>
        <v>0</v>
      </c>
      <c r="P69" s="191">
        <f>P30*P$72*$AF69</f>
        <v>0</v>
      </c>
      <c r="Q69" s="339">
        <f>S69-R69</f>
        <v>0</v>
      </c>
      <c r="R69" s="191">
        <f>R30*R$72*$AF69</f>
        <v>0</v>
      </c>
      <c r="S69" s="338">
        <f>S30*S$72*$AF69</f>
        <v>0</v>
      </c>
      <c r="T69" s="191">
        <f>V69-U69</f>
        <v>0</v>
      </c>
      <c r="U69" s="191">
        <f>U30*U$72*$AF69</f>
        <v>0</v>
      </c>
      <c r="V69" s="338">
        <f>V30*V$72*$AF69</f>
        <v>0</v>
      </c>
      <c r="W69" s="337">
        <f>Y69-X69</f>
        <v>0</v>
      </c>
      <c r="X69" s="191">
        <f>X30*X$72*$AF69</f>
        <v>0</v>
      </c>
      <c r="Y69" s="191">
        <f>Y30*Y$72*$AF69</f>
        <v>0</v>
      </c>
      <c r="Z69" s="339">
        <f>AB69-AA69</f>
        <v>0</v>
      </c>
      <c r="AA69" s="191">
        <f>AA30*AA$72*$AF69</f>
        <v>0</v>
      </c>
      <c r="AB69" s="338">
        <f>AB30*AB$72*$AF69</f>
        <v>0</v>
      </c>
      <c r="AC69" s="191">
        <f>AE69-AD69</f>
        <v>0</v>
      </c>
      <c r="AD69" s="191">
        <f>AD30*AD$72*$AF69</f>
        <v>0</v>
      </c>
      <c r="AE69" s="341">
        <f>AE30*AE$72*$AF69</f>
        <v>0</v>
      </c>
      <c r="AF69" s="173">
        <f>IF(AH70=5,$AG$69,0)</f>
        <v>0</v>
      </c>
      <c r="AG69" s="855">
        <f>IF(TA_NbVaches&gt;0,1,0)</f>
        <v>1</v>
      </c>
      <c r="AH69" s="851" t="s">
        <v>398</v>
      </c>
      <c r="AI69" s="851"/>
      <c r="AJ69" s="851"/>
    </row>
    <row r="70" spans="1:38" x14ac:dyDescent="0.2">
      <c r="A70" s="257" t="s">
        <v>342</v>
      </c>
      <c r="B70" s="258"/>
      <c r="C70" s="259"/>
      <c r="D70" s="342" t="s">
        <v>361</v>
      </c>
      <c r="E70" s="343">
        <f>G70-F70</f>
        <v>15</v>
      </c>
      <c r="F70" s="296">
        <f>(F53*$AH$70+F54)*F$72*$AF70</f>
        <v>49</v>
      </c>
      <c r="G70" s="296">
        <f>(G53*$AH$70+G54)*G$72*$AF70</f>
        <v>64</v>
      </c>
      <c r="H70" s="643">
        <f>J70-I70</f>
        <v>16.25</v>
      </c>
      <c r="I70" s="297">
        <f>(I53*$AH$70+I54)*I$72*$AF70</f>
        <v>15.25</v>
      </c>
      <c r="J70" s="298">
        <f>(J53*$AH$70+J54)*J$72*$AF70</f>
        <v>31.5</v>
      </c>
      <c r="K70" s="346">
        <f>M70-L70</f>
        <v>22.5</v>
      </c>
      <c r="L70" s="297">
        <f>(L53*$AH$70+L54)*L$72*$AF70</f>
        <v>79</v>
      </c>
      <c r="M70" s="297">
        <f>(M53*$AH$70+M54)*M$72*$AF70</f>
        <v>101.5</v>
      </c>
      <c r="N70" s="343">
        <f>P70-O70</f>
        <v>0</v>
      </c>
      <c r="O70" s="296">
        <f>(O53*$AH$70+O54)*O$72*$AF70</f>
        <v>0</v>
      </c>
      <c r="P70" s="296">
        <f>(P53*$AH$70+P54)*P$72*$AF70</f>
        <v>0</v>
      </c>
      <c r="Q70" s="643">
        <f>S70-R70</f>
        <v>0</v>
      </c>
      <c r="R70" s="297">
        <f>(R53*$AH$70+R54)*R$72*$AF70</f>
        <v>0</v>
      </c>
      <c r="S70" s="298">
        <f>(S53*$AH$70+S54)*S$72*$AF70</f>
        <v>0</v>
      </c>
      <c r="T70" s="346">
        <f>V70-U70</f>
        <v>0</v>
      </c>
      <c r="U70" s="297">
        <f>(U53*$AH$70+U54)*U$72*$AF70</f>
        <v>0</v>
      </c>
      <c r="V70" s="297">
        <f>(V53*$AH$70+V54)*V$72*$AF70</f>
        <v>0</v>
      </c>
      <c r="W70" s="343">
        <f>Y70-X70</f>
        <v>0</v>
      </c>
      <c r="X70" s="296">
        <f>(X53*$AH$70+X54)*X$72*$AF70</f>
        <v>0</v>
      </c>
      <c r="Y70" s="296">
        <f>(Y53*$AH$70+Y54)*Y$72*$AF70</f>
        <v>0</v>
      </c>
      <c r="Z70" s="643">
        <f>AB70-AA70</f>
        <v>0</v>
      </c>
      <c r="AA70" s="297">
        <f>(AA53*$AH$70+AA54)*AA$72*$AF70</f>
        <v>0</v>
      </c>
      <c r="AB70" s="651">
        <f>(AB53*$AH$70+AB54)*AB$72*$AF70</f>
        <v>0</v>
      </c>
      <c r="AC70" s="346">
        <f>AE70-AD70</f>
        <v>0</v>
      </c>
      <c r="AD70" s="297">
        <f>(AD53*$AH$70+AD54)*AD$72*$AF70</f>
        <v>0</v>
      </c>
      <c r="AE70" s="318">
        <f>(AE53*$AH$70+AE54)*AE$72*$AF70</f>
        <v>0</v>
      </c>
      <c r="AF70" s="173">
        <f>IF(AND(AH70&lt;&gt;5,AH70&lt;&gt;0),$AG$69,0)</f>
        <v>1</v>
      </c>
      <c r="AH70" s="855">
        <f>IF(ATA_MoHeVa=0,0,ATA_MoHeVa+4)</f>
        <v>7</v>
      </c>
      <c r="AI70" s="851" t="s">
        <v>402</v>
      </c>
      <c r="AJ70" s="851"/>
      <c r="AK70" s="851"/>
      <c r="AL70" s="851"/>
    </row>
    <row r="71" spans="1:38" ht="13.5" thickBot="1" x14ac:dyDescent="0.25">
      <c r="A71" s="347"/>
      <c r="B71" s="348"/>
      <c r="C71" s="348"/>
      <c r="D71" s="349" t="s">
        <v>244</v>
      </c>
      <c r="E71" s="350">
        <f t="shared" ref="E71:M71" si="15">SUM(E69:E70)</f>
        <v>15</v>
      </c>
      <c r="F71" s="351">
        <f t="shared" si="15"/>
        <v>49</v>
      </c>
      <c r="G71" s="351">
        <f t="shared" si="15"/>
        <v>64</v>
      </c>
      <c r="H71" s="644">
        <f t="shared" si="15"/>
        <v>16.25</v>
      </c>
      <c r="I71" s="352">
        <f t="shared" si="15"/>
        <v>15.25</v>
      </c>
      <c r="J71" s="639">
        <f t="shared" si="15"/>
        <v>31.5</v>
      </c>
      <c r="K71" s="352">
        <f t="shared" si="15"/>
        <v>22.5</v>
      </c>
      <c r="L71" s="352">
        <f t="shared" si="15"/>
        <v>79</v>
      </c>
      <c r="M71" s="352">
        <f t="shared" si="15"/>
        <v>101.5</v>
      </c>
      <c r="N71" s="350">
        <f>SUM(N69:N70)</f>
        <v>0</v>
      </c>
      <c r="O71" s="351">
        <f>SUM(O69:O70)</f>
        <v>0</v>
      </c>
      <c r="P71" s="351">
        <f>SUM(P69:P70)</f>
        <v>0</v>
      </c>
      <c r="Q71" s="644">
        <f t="shared" ref="Q71:V71" si="16">SUM(Q69:Q70)</f>
        <v>0</v>
      </c>
      <c r="R71" s="352">
        <f t="shared" si="16"/>
        <v>0</v>
      </c>
      <c r="S71" s="639">
        <f t="shared" si="16"/>
        <v>0</v>
      </c>
      <c r="T71" s="352">
        <f t="shared" si="16"/>
        <v>0</v>
      </c>
      <c r="U71" s="352">
        <f t="shared" si="16"/>
        <v>0</v>
      </c>
      <c r="V71" s="352">
        <f t="shared" si="16"/>
        <v>0</v>
      </c>
      <c r="W71" s="350">
        <f>SUM(W69:W70)</f>
        <v>0</v>
      </c>
      <c r="X71" s="351">
        <f>SUM(X69:X70)</f>
        <v>0</v>
      </c>
      <c r="Y71" s="351">
        <f>SUM(Y69:Y70)</f>
        <v>0</v>
      </c>
      <c r="Z71" s="644">
        <f t="shared" ref="Z71:AE71" si="17">SUM(Z69:Z70)</f>
        <v>0</v>
      </c>
      <c r="AA71" s="352">
        <f t="shared" si="17"/>
        <v>0</v>
      </c>
      <c r="AB71" s="639">
        <f t="shared" si="17"/>
        <v>0</v>
      </c>
      <c r="AC71" s="352">
        <f t="shared" si="17"/>
        <v>0</v>
      </c>
      <c r="AD71" s="352">
        <f t="shared" si="17"/>
        <v>0</v>
      </c>
      <c r="AE71" s="353">
        <f t="shared" si="17"/>
        <v>0</v>
      </c>
      <c r="AF71" s="176"/>
    </row>
    <row r="72" spans="1:38" ht="13.5" thickTop="1" x14ac:dyDescent="0.2">
      <c r="C72" s="172"/>
      <c r="D72" s="354" t="s">
        <v>360</v>
      </c>
      <c r="E72" s="173">
        <f>IF(TA_FormVach=1,1,0)</f>
        <v>1</v>
      </c>
      <c r="F72" s="173">
        <f>$E72</f>
        <v>1</v>
      </c>
      <c r="G72" s="173">
        <f t="shared" ref="G72:M72" si="18">$E72</f>
        <v>1</v>
      </c>
      <c r="H72" s="175">
        <f t="shared" si="18"/>
        <v>1</v>
      </c>
      <c r="I72" s="640">
        <f t="shared" si="18"/>
        <v>1</v>
      </c>
      <c r="J72" s="175">
        <f t="shared" si="18"/>
        <v>1</v>
      </c>
      <c r="K72" s="173">
        <f t="shared" si="18"/>
        <v>1</v>
      </c>
      <c r="L72" s="173">
        <f t="shared" si="18"/>
        <v>1</v>
      </c>
      <c r="M72" s="173">
        <f t="shared" si="18"/>
        <v>1</v>
      </c>
      <c r="N72" s="653">
        <f>IF(TA_FormVach=2,1,0)</f>
        <v>0</v>
      </c>
      <c r="O72" s="173">
        <f>$N72</f>
        <v>0</v>
      </c>
      <c r="P72" s="173">
        <f t="shared" ref="P72:V72" si="19">$N72</f>
        <v>0</v>
      </c>
      <c r="Q72" s="175">
        <f t="shared" si="19"/>
        <v>0</v>
      </c>
      <c r="R72" s="640">
        <f t="shared" si="19"/>
        <v>0</v>
      </c>
      <c r="S72" s="640">
        <f t="shared" si="19"/>
        <v>0</v>
      </c>
      <c r="T72" s="175">
        <f t="shared" si="19"/>
        <v>0</v>
      </c>
      <c r="U72" s="173">
        <f t="shared" si="19"/>
        <v>0</v>
      </c>
      <c r="V72" s="173">
        <f t="shared" si="19"/>
        <v>0</v>
      </c>
      <c r="W72" s="653">
        <f>IF(TA_FormVach=3,1,0)</f>
        <v>0</v>
      </c>
      <c r="X72" s="173">
        <f>$W72</f>
        <v>0</v>
      </c>
      <c r="Y72" s="173">
        <f t="shared" ref="Y72:AE72" si="20">$W72</f>
        <v>0</v>
      </c>
      <c r="Z72" s="175">
        <f t="shared" si="20"/>
        <v>0</v>
      </c>
      <c r="AA72" s="640">
        <f t="shared" si="20"/>
        <v>0</v>
      </c>
      <c r="AB72" s="175">
        <f t="shared" si="20"/>
        <v>0</v>
      </c>
      <c r="AC72" s="175">
        <f t="shared" si="20"/>
        <v>0</v>
      </c>
      <c r="AD72" s="173">
        <f t="shared" si="20"/>
        <v>0</v>
      </c>
      <c r="AE72" s="355">
        <f t="shared" si="20"/>
        <v>0</v>
      </c>
      <c r="AF72" s="176"/>
      <c r="AH72" s="855">
        <f>IF(ATA_MoHeGe2=0,0,ATA_MoHeGe2+4)</f>
        <v>7</v>
      </c>
      <c r="AI72" s="851" t="s">
        <v>403</v>
      </c>
      <c r="AJ72" s="851"/>
      <c r="AK72" s="851"/>
      <c r="AL72" s="851"/>
    </row>
    <row r="73" spans="1:38" ht="3" customHeight="1" thickBot="1" x14ac:dyDescent="0.25">
      <c r="D73" s="74"/>
      <c r="E73" s="188"/>
      <c r="G73" s="73"/>
      <c r="H73" s="184"/>
      <c r="I73" s="46"/>
      <c r="J73" s="73"/>
      <c r="K73" s="188"/>
      <c r="M73" s="74"/>
      <c r="N73" s="188"/>
      <c r="P73" s="73"/>
      <c r="Q73" s="184"/>
      <c r="R73" s="46"/>
      <c r="S73" s="73"/>
      <c r="T73" s="188"/>
      <c r="V73" s="74"/>
      <c r="W73" s="188"/>
      <c r="Z73" s="188"/>
      <c r="AB73" s="73"/>
      <c r="AC73" s="188"/>
      <c r="AE73" s="356"/>
      <c r="AF73" s="176"/>
    </row>
    <row r="74" spans="1:38" ht="13.5" thickTop="1" x14ac:dyDescent="0.2">
      <c r="A74" s="80" t="s">
        <v>351</v>
      </c>
      <c r="B74" s="81">
        <v>1</v>
      </c>
      <c r="C74" s="81"/>
      <c r="D74" s="265"/>
      <c r="E74" s="337">
        <f>G74-F74</f>
        <v>17</v>
      </c>
      <c r="F74" s="357">
        <f>F34*F$80*$AF74</f>
        <v>10</v>
      </c>
      <c r="G74" s="357">
        <f>G34*G$80*$AF74</f>
        <v>27</v>
      </c>
      <c r="H74" s="304">
        <f>J74-I74</f>
        <v>4.5</v>
      </c>
      <c r="I74" s="305">
        <f>I34*I$80*$AF74</f>
        <v>3.5</v>
      </c>
      <c r="J74" s="306">
        <f>J34*J$80*$AF74</f>
        <v>8</v>
      </c>
      <c r="K74" s="305">
        <f>M74-L74</f>
        <v>12</v>
      </c>
      <c r="L74" s="305">
        <f>L34*L$80*$AF74</f>
        <v>26</v>
      </c>
      <c r="M74" s="305">
        <f>M34*M$80*$AF74</f>
        <v>38</v>
      </c>
      <c r="N74" s="337">
        <f>P74-O74</f>
        <v>0</v>
      </c>
      <c r="O74" s="357">
        <f>O34*O$80*$AF74</f>
        <v>0</v>
      </c>
      <c r="P74" s="357">
        <f>P34*P$80*$AF74</f>
        <v>0</v>
      </c>
      <c r="Q74" s="304">
        <f>S74-R74</f>
        <v>0</v>
      </c>
      <c r="R74" s="305">
        <f>R34*R$80*$AF74</f>
        <v>0</v>
      </c>
      <c r="S74" s="306">
        <f>S34*S$80*$AF74</f>
        <v>0</v>
      </c>
      <c r="T74" s="305">
        <f>V74-U74</f>
        <v>0</v>
      </c>
      <c r="U74" s="305">
        <f>U34*U$80*$AF74</f>
        <v>0</v>
      </c>
      <c r="V74" s="305">
        <f>V34*V$80*$AF74</f>
        <v>0</v>
      </c>
      <c r="W74" s="337">
        <f>Y74-X74</f>
        <v>0</v>
      </c>
      <c r="X74" s="357">
        <f>X34*X$80*$AF74</f>
        <v>0</v>
      </c>
      <c r="Y74" s="357">
        <f>Y34*Y$80*$AF74</f>
        <v>0</v>
      </c>
      <c r="Z74" s="304">
        <f>AB74-AA74</f>
        <v>0</v>
      </c>
      <c r="AA74" s="305">
        <f>AA34*AA$80*$AF74</f>
        <v>0</v>
      </c>
      <c r="AB74" s="306">
        <f>AB34*AB$80*$AF74</f>
        <v>0</v>
      </c>
      <c r="AC74" s="305">
        <f>AE74-AD74</f>
        <v>0</v>
      </c>
      <c r="AD74" s="305">
        <f>AD34*AD$80*$AF74</f>
        <v>0</v>
      </c>
      <c r="AE74" s="305">
        <f>AE34*AE$80*$AF74</f>
        <v>0</v>
      </c>
      <c r="AF74" s="173">
        <f>AG74</f>
        <v>1</v>
      </c>
      <c r="AG74" s="855">
        <f>IF(TA_NbGenAn1&gt;0,1,0)</f>
        <v>1</v>
      </c>
      <c r="AH74" s="851" t="s">
        <v>399</v>
      </c>
      <c r="AI74" s="851"/>
      <c r="AJ74" s="851"/>
      <c r="AK74" s="851"/>
      <c r="AL74" s="188"/>
    </row>
    <row r="75" spans="1:38" x14ac:dyDescent="0.2">
      <c r="A75" s="61" t="s">
        <v>352</v>
      </c>
      <c r="B75" s="358">
        <v>2</v>
      </c>
      <c r="C75" s="50"/>
      <c r="D75" s="212"/>
      <c r="E75" s="359">
        <f>G75-F75</f>
        <v>11</v>
      </c>
      <c r="F75" s="360">
        <f>(F56*$AH$72+F57)*F$80*$AF75</f>
        <v>28</v>
      </c>
      <c r="G75" s="360">
        <f>(G56*$AH$72+G57)*G$80*$AF75</f>
        <v>39</v>
      </c>
      <c r="H75" s="311">
        <f>J75-I75</f>
        <v>7.8333333333333339</v>
      </c>
      <c r="I75" s="361">
        <f>(I56*$AH$72+I57)*I$80*$AF75</f>
        <v>8.8333333333333339</v>
      </c>
      <c r="J75" s="641">
        <f>(J56*$AH$72+J57)*J$80*$AF75</f>
        <v>16.666666666666668</v>
      </c>
      <c r="K75" s="312">
        <f>M75-L75</f>
        <v>13.666666666666664</v>
      </c>
      <c r="L75" s="361">
        <f>(L56*$AH$72+L57)*L$80*$AF75</f>
        <v>40.333333333333336</v>
      </c>
      <c r="M75" s="361">
        <f>(M56*$AH$72+M57)*M$80*$AF75</f>
        <v>54</v>
      </c>
      <c r="N75" s="359">
        <f>P75-O75</f>
        <v>0</v>
      </c>
      <c r="O75" s="360">
        <f>(O56*$AH$72+O57)*O$80*$AF75</f>
        <v>0</v>
      </c>
      <c r="P75" s="360">
        <f>(P56*$AH$72+P57)*P$80*$AF75</f>
        <v>0</v>
      </c>
      <c r="Q75" s="311">
        <f>S75-R75</f>
        <v>0</v>
      </c>
      <c r="R75" s="361">
        <f>(R56*$AH$72+R57)*R$80*$AF75</f>
        <v>0</v>
      </c>
      <c r="S75" s="641">
        <f>(S56*$AH$72+S57)*S$80*$AF75</f>
        <v>0</v>
      </c>
      <c r="T75" s="312">
        <f>V75-U75</f>
        <v>0</v>
      </c>
      <c r="U75" s="361">
        <f>(U56*$AH$72+U57)*U$80*$AF75</f>
        <v>0</v>
      </c>
      <c r="V75" s="361">
        <f>(V56*$AH$72+V57)*V$80*$AF75</f>
        <v>0</v>
      </c>
      <c r="W75" s="359">
        <f>Y75-X75</f>
        <v>0</v>
      </c>
      <c r="X75" s="360">
        <f>(X56*$AH$72+X57)*X$80*$AF75</f>
        <v>0</v>
      </c>
      <c r="Y75" s="360">
        <f>(Y56*$AH$72+Y57)*Y$80*$AF75</f>
        <v>0</v>
      </c>
      <c r="Z75" s="311">
        <f>AB75-AA75</f>
        <v>0</v>
      </c>
      <c r="AA75" s="361">
        <f>(AA56*$AH$72+AA57)*AA$80*$AF75</f>
        <v>0</v>
      </c>
      <c r="AB75" s="641">
        <f>(AB56*$AH$72+AB57)*AB$80*$AF75</f>
        <v>0</v>
      </c>
      <c r="AC75" s="312">
        <f>AE75-AD75</f>
        <v>0</v>
      </c>
      <c r="AD75" s="361">
        <f>(AD56*$AH$72+AD57)*AD$80*$AF75</f>
        <v>0</v>
      </c>
      <c r="AE75" s="361">
        <f>(AE56*$AH$72+AE57)*AE$80*$AF75</f>
        <v>0</v>
      </c>
      <c r="AF75" s="173">
        <f>AG75</f>
        <v>1</v>
      </c>
      <c r="AG75" s="855">
        <f>IF(TA_NbGenAn2&gt;0,1,0)</f>
        <v>1</v>
      </c>
      <c r="AH75" s="851" t="s">
        <v>400</v>
      </c>
      <c r="AI75" s="851"/>
      <c r="AJ75" s="851"/>
      <c r="AK75" s="851"/>
    </row>
    <row r="76" spans="1:38" x14ac:dyDescent="0.2">
      <c r="A76" s="61"/>
      <c r="B76" s="50">
        <v>3</v>
      </c>
      <c r="C76" s="362" t="s">
        <v>357</v>
      </c>
      <c r="D76" s="363" t="s">
        <v>258</v>
      </c>
      <c r="E76" s="359">
        <f>G76-F76</f>
        <v>0</v>
      </c>
      <c r="F76" s="364">
        <f>F39*F$80*$AF76</f>
        <v>0</v>
      </c>
      <c r="G76" s="364">
        <f>G39*G$80*$AF76</f>
        <v>0</v>
      </c>
      <c r="H76" s="311">
        <f>J76-I76</f>
        <v>0</v>
      </c>
      <c r="I76" s="312">
        <f>I39*I$80*$AF76</f>
        <v>0</v>
      </c>
      <c r="J76" s="313">
        <f>J39*J$80*$AF76</f>
        <v>0</v>
      </c>
      <c r="K76" s="312">
        <f>M76-L76</f>
        <v>0</v>
      </c>
      <c r="L76" s="312">
        <f>L39*L$80*$AF76</f>
        <v>0</v>
      </c>
      <c r="M76" s="312">
        <f>M39*M$80*$AF76</f>
        <v>0</v>
      </c>
      <c r="N76" s="359">
        <f>P76-O76</f>
        <v>0</v>
      </c>
      <c r="O76" s="364">
        <f>O39*O$80*$AF76</f>
        <v>0</v>
      </c>
      <c r="P76" s="364">
        <f>P39*P$80*$AF76</f>
        <v>0</v>
      </c>
      <c r="Q76" s="311">
        <f>S76-R76</f>
        <v>0</v>
      </c>
      <c r="R76" s="312">
        <f>R39*R$80*$AF76</f>
        <v>0</v>
      </c>
      <c r="S76" s="313">
        <f>S39*S$80*$AF76</f>
        <v>0</v>
      </c>
      <c r="T76" s="312">
        <f>V76-U76</f>
        <v>0</v>
      </c>
      <c r="U76" s="312">
        <f>U39*U$80*$AF76</f>
        <v>0</v>
      </c>
      <c r="V76" s="312">
        <f>V39*V$80*$AF76</f>
        <v>0</v>
      </c>
      <c r="W76" s="359">
        <f>Y76-X76</f>
        <v>0</v>
      </c>
      <c r="X76" s="364">
        <f>X39*X$80*$AF76</f>
        <v>0</v>
      </c>
      <c r="Y76" s="364">
        <f>Y39*Y$80*$AF76</f>
        <v>0</v>
      </c>
      <c r="Z76" s="311">
        <f>AB76-AA76</f>
        <v>0</v>
      </c>
      <c r="AA76" s="312">
        <f>AA39*AA$80*$AF76</f>
        <v>0</v>
      </c>
      <c r="AB76" s="313">
        <f>AB39*AB$80*$AF76</f>
        <v>0</v>
      </c>
      <c r="AC76" s="312">
        <f>AE76-AD76</f>
        <v>0</v>
      </c>
      <c r="AD76" s="312">
        <f>AD39*AD$80*$AF76</f>
        <v>0</v>
      </c>
      <c r="AE76" s="365">
        <f>AE39*AE$80*$AF76</f>
        <v>0</v>
      </c>
      <c r="AF76" s="173">
        <f>IF(AND(TA_TypeVela=1,ATA_Gen33FH=1),$AG$76,0)</f>
        <v>0</v>
      </c>
      <c r="AG76" s="855">
        <f>IF(TA_NbGenAn3&gt;0,1,0)</f>
        <v>1</v>
      </c>
      <c r="AH76" s="851" t="s">
        <v>401</v>
      </c>
      <c r="AI76" s="851"/>
      <c r="AJ76" s="851"/>
      <c r="AK76" s="851"/>
    </row>
    <row r="77" spans="1:38" x14ac:dyDescent="0.2">
      <c r="A77" s="61"/>
      <c r="B77" s="51"/>
      <c r="C77" s="366"/>
      <c r="D77" s="35" t="s">
        <v>358</v>
      </c>
      <c r="E77" s="343">
        <f>G77-F77</f>
        <v>0</v>
      </c>
      <c r="F77" s="345">
        <f>F40*F$80*$AF77</f>
        <v>0</v>
      </c>
      <c r="G77" s="345">
        <f>G40*G$80*$AF77</f>
        <v>0</v>
      </c>
      <c r="H77" s="316">
        <f>J77-I77</f>
        <v>0</v>
      </c>
      <c r="I77" s="185">
        <f>I40*I$80*$AF77</f>
        <v>0</v>
      </c>
      <c r="J77" s="317">
        <f>J40*J$80*$AF77</f>
        <v>0</v>
      </c>
      <c r="K77" s="185">
        <f>M77-L77</f>
        <v>0</v>
      </c>
      <c r="L77" s="185">
        <f>L40*L$80*$AF77</f>
        <v>0</v>
      </c>
      <c r="M77" s="185">
        <f>M40*M$80*$AF77</f>
        <v>0</v>
      </c>
      <c r="N77" s="343">
        <f>P77-O77</f>
        <v>0</v>
      </c>
      <c r="O77" s="345">
        <f>O40*O$80*$AF77</f>
        <v>0</v>
      </c>
      <c r="P77" s="345">
        <f>P40*P$80*$AF77</f>
        <v>0</v>
      </c>
      <c r="Q77" s="316">
        <f>S77-R77</f>
        <v>0</v>
      </c>
      <c r="R77" s="185">
        <f>R40*R$80*$AF77</f>
        <v>0</v>
      </c>
      <c r="S77" s="317">
        <f>S40*S$80*$AF77</f>
        <v>0</v>
      </c>
      <c r="T77" s="185">
        <f>V77-U77</f>
        <v>0</v>
      </c>
      <c r="U77" s="185">
        <f>U40*U$80*$AF77</f>
        <v>0</v>
      </c>
      <c r="V77" s="185">
        <f>V40*V$80*$AF77</f>
        <v>0</v>
      </c>
      <c r="W77" s="343">
        <f>Y77-X77</f>
        <v>0</v>
      </c>
      <c r="X77" s="345">
        <f>X40*X$80*$AF77</f>
        <v>0</v>
      </c>
      <c r="Y77" s="345">
        <f>Y40*Y$80*$AF77</f>
        <v>0</v>
      </c>
      <c r="Z77" s="316">
        <f>AB77-AA77</f>
        <v>0</v>
      </c>
      <c r="AA77" s="185">
        <f>AA40*AA$80*$AF77</f>
        <v>0</v>
      </c>
      <c r="AB77" s="317">
        <f>AB40*AB$80*$AF77</f>
        <v>0</v>
      </c>
      <c r="AC77" s="185">
        <f>AE77-AD77</f>
        <v>0</v>
      </c>
      <c r="AD77" s="185">
        <f>AD40*AD$80*$AF77</f>
        <v>0</v>
      </c>
      <c r="AE77" s="367">
        <f>AE40*AE$80*$AF77</f>
        <v>0</v>
      </c>
      <c r="AF77" s="173">
        <f>IF(AND(TA_TypeVela=1,ATA_Gen33FH=2),$AG$76,0)</f>
        <v>0</v>
      </c>
      <c r="AH77" s="855">
        <f>IF(ATA_MoHeG36=0,0,ATA_MoHeG36+4)</f>
        <v>7</v>
      </c>
      <c r="AI77" s="851" t="s">
        <v>404</v>
      </c>
      <c r="AJ77" s="851"/>
      <c r="AK77" s="851"/>
      <c r="AL77" s="851"/>
    </row>
    <row r="78" spans="1:38" x14ac:dyDescent="0.2">
      <c r="A78" s="61"/>
      <c r="B78" s="51"/>
      <c r="C78" s="368"/>
      <c r="D78" s="369" t="s">
        <v>378</v>
      </c>
      <c r="E78" s="370">
        <f t="shared" ref="E78:AE78" si="21">E76+E77</f>
        <v>0</v>
      </c>
      <c r="F78" s="371">
        <f t="shared" si="21"/>
        <v>0</v>
      </c>
      <c r="G78" s="371">
        <f t="shared" si="21"/>
        <v>0</v>
      </c>
      <c r="H78" s="372">
        <f t="shared" si="21"/>
        <v>0</v>
      </c>
      <c r="I78" s="373">
        <f t="shared" si="21"/>
        <v>0</v>
      </c>
      <c r="J78" s="374">
        <f t="shared" si="21"/>
        <v>0</v>
      </c>
      <c r="K78" s="373">
        <f t="shared" si="21"/>
        <v>0</v>
      </c>
      <c r="L78" s="373">
        <f t="shared" si="21"/>
        <v>0</v>
      </c>
      <c r="M78" s="373">
        <f t="shared" si="21"/>
        <v>0</v>
      </c>
      <c r="N78" s="370">
        <f t="shared" si="21"/>
        <v>0</v>
      </c>
      <c r="O78" s="371">
        <f t="shared" si="21"/>
        <v>0</v>
      </c>
      <c r="P78" s="371">
        <f t="shared" si="21"/>
        <v>0</v>
      </c>
      <c r="Q78" s="372">
        <f t="shared" si="21"/>
        <v>0</v>
      </c>
      <c r="R78" s="373">
        <f t="shared" si="21"/>
        <v>0</v>
      </c>
      <c r="S78" s="374">
        <f t="shared" si="21"/>
        <v>0</v>
      </c>
      <c r="T78" s="373">
        <f t="shared" si="21"/>
        <v>0</v>
      </c>
      <c r="U78" s="373">
        <f t="shared" si="21"/>
        <v>0</v>
      </c>
      <c r="V78" s="373">
        <f t="shared" si="21"/>
        <v>0</v>
      </c>
      <c r="W78" s="370">
        <f t="shared" si="21"/>
        <v>0</v>
      </c>
      <c r="X78" s="371">
        <f t="shared" si="21"/>
        <v>0</v>
      </c>
      <c r="Y78" s="371">
        <f t="shared" si="21"/>
        <v>0</v>
      </c>
      <c r="Z78" s="372">
        <f t="shared" si="21"/>
        <v>0</v>
      </c>
      <c r="AA78" s="373">
        <f t="shared" si="21"/>
        <v>0</v>
      </c>
      <c r="AB78" s="374">
        <f t="shared" si="21"/>
        <v>0</v>
      </c>
      <c r="AC78" s="373">
        <f t="shared" si="21"/>
        <v>0</v>
      </c>
      <c r="AD78" s="373">
        <f t="shared" si="21"/>
        <v>0</v>
      </c>
      <c r="AE78" s="375">
        <f t="shared" si="21"/>
        <v>0</v>
      </c>
      <c r="AF78" s="176"/>
    </row>
    <row r="79" spans="1:38" ht="13.5" thickBot="1" x14ac:dyDescent="0.25">
      <c r="A79" s="72"/>
      <c r="B79" s="76"/>
      <c r="C79" s="376">
        <v>36</v>
      </c>
      <c r="D79" s="147"/>
      <c r="E79" s="377">
        <f>G79-F79</f>
        <v>16</v>
      </c>
      <c r="F79" s="378">
        <f>(F60*$AH$77+F61)*F$80*$AF79</f>
        <v>39.333333333333336</v>
      </c>
      <c r="G79" s="378">
        <f>(G60*$AH$77+G61)*G$80*$AF79</f>
        <v>55.333333333333336</v>
      </c>
      <c r="H79" s="379">
        <f>J79-I79</f>
        <v>10</v>
      </c>
      <c r="I79" s="381">
        <f>(I60*$AH$77+I61)*I$80*$AF79</f>
        <v>13</v>
      </c>
      <c r="J79" s="642">
        <f>(J60*$AH$77+J61)*J$80*$AF79</f>
        <v>23</v>
      </c>
      <c r="K79" s="380">
        <f>M79-L79</f>
        <v>20.333333333333321</v>
      </c>
      <c r="L79" s="381">
        <f>(L60*$AH$77+L61)*L$80*$AF79</f>
        <v>56.333333333333336</v>
      </c>
      <c r="M79" s="381">
        <f>(M60*$AH$77+M61)*M$80*$AF79</f>
        <v>76.666666666666657</v>
      </c>
      <c r="N79" s="377">
        <f>P79-O79</f>
        <v>0</v>
      </c>
      <c r="O79" s="378">
        <f>(O60*$AH$77+O61)*O$80*$AF79</f>
        <v>0</v>
      </c>
      <c r="P79" s="378">
        <f>(P60*$AH$77+P61)*P$80*$AF79</f>
        <v>0</v>
      </c>
      <c r="Q79" s="379">
        <f>S79-R79</f>
        <v>0</v>
      </c>
      <c r="R79" s="381">
        <f>(R60*$AH$77+R61)*R$80*$AF79</f>
        <v>0</v>
      </c>
      <c r="S79" s="642">
        <f>(S60*$AH$77+S61)*S$80*$AF79</f>
        <v>0</v>
      </c>
      <c r="T79" s="380">
        <f>V79-U79</f>
        <v>0</v>
      </c>
      <c r="U79" s="381">
        <f>(U60*$AH$77+U61)*U$80*$AF79</f>
        <v>0</v>
      </c>
      <c r="V79" s="381">
        <f>(V60*$AH$77+V61)*V$80*$AF79</f>
        <v>0</v>
      </c>
      <c r="W79" s="377">
        <f>Y79-X79</f>
        <v>0</v>
      </c>
      <c r="X79" s="378">
        <f>(X60*$AH$77+X61)*X$80*$AF79</f>
        <v>0</v>
      </c>
      <c r="Y79" s="378">
        <f>(Y60*$AH$77+Y61)*Y$80*$AF79</f>
        <v>0</v>
      </c>
      <c r="Z79" s="379">
        <f>AB79-AA79</f>
        <v>0</v>
      </c>
      <c r="AA79" s="381">
        <f>(AA60*$AH$77+AA61)*AA$80*$AF79</f>
        <v>0</v>
      </c>
      <c r="AB79" s="642">
        <f>(AB60*$AH$77+AB61)*AB$80*$AF79</f>
        <v>0</v>
      </c>
      <c r="AC79" s="380">
        <f>AE79-AD79</f>
        <v>0</v>
      </c>
      <c r="AD79" s="381">
        <f>(AD60*$AH$77+AD61)*AD$80*$AF79</f>
        <v>0</v>
      </c>
      <c r="AE79" s="382">
        <f>(AE60*$AH$77+AE61)*AE$80*$AF79</f>
        <v>0</v>
      </c>
      <c r="AF79" s="173">
        <f>IF(TA_TypeVela=2,$AG$76,0)</f>
        <v>1</v>
      </c>
    </row>
    <row r="80" spans="1:38" ht="13.5" thickTop="1" x14ac:dyDescent="0.2">
      <c r="C80" s="172"/>
      <c r="D80" s="354" t="s">
        <v>360</v>
      </c>
      <c r="E80" s="173">
        <f>IF(TA_FormGen=1,1,0)</f>
        <v>1</v>
      </c>
      <c r="F80" s="173">
        <f>$E80</f>
        <v>1</v>
      </c>
      <c r="G80" s="173">
        <f t="shared" ref="G80:M80" si="22">$E80</f>
        <v>1</v>
      </c>
      <c r="H80" s="173">
        <f t="shared" si="22"/>
        <v>1</v>
      </c>
      <c r="I80" s="173">
        <f t="shared" si="22"/>
        <v>1</v>
      </c>
      <c r="J80" s="173">
        <f t="shared" si="22"/>
        <v>1</v>
      </c>
      <c r="K80" s="173">
        <f t="shared" si="22"/>
        <v>1</v>
      </c>
      <c r="L80" s="173">
        <f t="shared" si="22"/>
        <v>1</v>
      </c>
      <c r="M80" s="652">
        <f t="shared" si="22"/>
        <v>1</v>
      </c>
      <c r="N80" s="173">
        <f>IF(TA_FormGen=2,1,0)</f>
        <v>0</v>
      </c>
      <c r="O80" s="173">
        <f>$N80</f>
        <v>0</v>
      </c>
      <c r="P80" s="173">
        <f t="shared" ref="P80:V80" si="23">$N80</f>
        <v>0</v>
      </c>
      <c r="Q80" s="173">
        <f t="shared" si="23"/>
        <v>0</v>
      </c>
      <c r="R80" s="173">
        <f t="shared" si="23"/>
        <v>0</v>
      </c>
      <c r="S80" s="173">
        <f t="shared" si="23"/>
        <v>0</v>
      </c>
      <c r="T80" s="173">
        <f t="shared" si="23"/>
        <v>0</v>
      </c>
      <c r="U80" s="173">
        <f t="shared" si="23"/>
        <v>0</v>
      </c>
      <c r="V80" s="652">
        <f t="shared" si="23"/>
        <v>0</v>
      </c>
      <c r="W80" s="173">
        <f>IF(TA_FormGen=3,1,0)</f>
        <v>0</v>
      </c>
      <c r="X80" s="173">
        <f>$W80</f>
        <v>0</v>
      </c>
      <c r="Y80" s="173">
        <f t="shared" ref="Y80:AE80" si="24">$W80</f>
        <v>0</v>
      </c>
      <c r="Z80" s="173">
        <f t="shared" si="24"/>
        <v>0</v>
      </c>
      <c r="AA80" s="173">
        <f t="shared" si="24"/>
        <v>0</v>
      </c>
      <c r="AB80" s="173">
        <f t="shared" si="24"/>
        <v>0</v>
      </c>
      <c r="AC80" s="173">
        <f t="shared" si="24"/>
        <v>0</v>
      </c>
      <c r="AD80" s="173">
        <f t="shared" si="24"/>
        <v>0</v>
      </c>
      <c r="AE80" s="652">
        <f t="shared" si="24"/>
        <v>0</v>
      </c>
    </row>
    <row r="81" spans="1:22" x14ac:dyDescent="0.2">
      <c r="E81" s="383"/>
    </row>
    <row r="82" spans="1:22" x14ac:dyDescent="0.2">
      <c r="A82" s="14" t="s">
        <v>364</v>
      </c>
      <c r="N82" s="384" t="s">
        <v>405</v>
      </c>
      <c r="O82" s="46"/>
      <c r="P82" s="46"/>
      <c r="Q82" s="46"/>
      <c r="R82" s="46"/>
      <c r="S82" s="46"/>
      <c r="T82" s="46"/>
      <c r="U82" s="46"/>
      <c r="V82" s="46"/>
    </row>
    <row r="83" spans="1:22" ht="3" customHeight="1" thickBot="1" x14ac:dyDescent="0.25">
      <c r="N83" s="385"/>
      <c r="O83" s="46"/>
      <c r="P83" s="46"/>
      <c r="Q83" s="46"/>
      <c r="R83" s="46"/>
      <c r="S83" s="46"/>
      <c r="T83" s="46"/>
      <c r="U83" s="46"/>
      <c r="V83" s="46"/>
    </row>
    <row r="84" spans="1:22" ht="13.5" thickTop="1" x14ac:dyDescent="0.2">
      <c r="E84" s="3435" t="s">
        <v>365</v>
      </c>
      <c r="F84" s="3436"/>
      <c r="G84" s="3436"/>
      <c r="H84" s="3436"/>
      <c r="I84" s="3436"/>
      <c r="J84" s="3436"/>
      <c r="K84" s="3436"/>
      <c r="L84" s="3436"/>
      <c r="M84" s="3436"/>
      <c r="N84" s="3445" t="s">
        <v>365</v>
      </c>
      <c r="O84" s="3436"/>
      <c r="P84" s="3436"/>
      <c r="Q84" s="3436"/>
      <c r="R84" s="3436"/>
      <c r="S84" s="3436"/>
      <c r="T84" s="3436"/>
      <c r="U84" s="3436"/>
      <c r="V84" s="3437"/>
    </row>
    <row r="85" spans="1:22" x14ac:dyDescent="0.2">
      <c r="E85" s="3441" t="s">
        <v>256</v>
      </c>
      <c r="F85" s="3430"/>
      <c r="G85" s="3431"/>
      <c r="H85" s="3429" t="s">
        <v>257</v>
      </c>
      <c r="I85" s="3430"/>
      <c r="J85" s="3430"/>
      <c r="K85" s="3429" t="s">
        <v>756</v>
      </c>
      <c r="L85" s="3430"/>
      <c r="M85" s="3430"/>
      <c r="N85" s="3446" t="s">
        <v>256</v>
      </c>
      <c r="O85" s="3430"/>
      <c r="P85" s="3430"/>
      <c r="Q85" s="3429" t="s">
        <v>257</v>
      </c>
      <c r="R85" s="3430"/>
      <c r="S85" s="3431"/>
      <c r="T85" s="3430" t="s">
        <v>756</v>
      </c>
      <c r="U85" s="3430"/>
      <c r="V85" s="3434"/>
    </row>
    <row r="86" spans="1:22" x14ac:dyDescent="0.2">
      <c r="B86" s="50" t="s">
        <v>353</v>
      </c>
      <c r="C86" s="50" t="s">
        <v>355</v>
      </c>
      <c r="D86" s="50" t="s">
        <v>344</v>
      </c>
      <c r="E86" s="110" t="s">
        <v>249</v>
      </c>
      <c r="F86" s="36" t="s">
        <v>247</v>
      </c>
      <c r="G86" s="36"/>
      <c r="H86" s="35" t="s">
        <v>249</v>
      </c>
      <c r="I86" s="36" t="s">
        <v>247</v>
      </c>
      <c r="J86" s="36"/>
      <c r="K86" s="35" t="s">
        <v>249</v>
      </c>
      <c r="L86" s="36" t="s">
        <v>247</v>
      </c>
      <c r="M86" s="36"/>
      <c r="N86" s="386" t="s">
        <v>249</v>
      </c>
      <c r="O86" s="36" t="s">
        <v>247</v>
      </c>
      <c r="P86" s="36"/>
      <c r="Q86" s="35" t="s">
        <v>249</v>
      </c>
      <c r="R86" s="36" t="s">
        <v>247</v>
      </c>
      <c r="S86" s="37"/>
      <c r="T86" s="36" t="s">
        <v>249</v>
      </c>
      <c r="U86" s="36" t="s">
        <v>247</v>
      </c>
      <c r="V86" s="109"/>
    </row>
    <row r="87" spans="1:22" ht="13.5" thickBot="1" x14ac:dyDescent="0.25">
      <c r="B87" s="177" t="s">
        <v>354</v>
      </c>
      <c r="C87" s="176" t="s">
        <v>356</v>
      </c>
      <c r="D87" s="51" t="s">
        <v>343</v>
      </c>
      <c r="E87" s="110" t="s">
        <v>248</v>
      </c>
      <c r="F87" s="36" t="s">
        <v>246</v>
      </c>
      <c r="G87" s="36" t="s">
        <v>244</v>
      </c>
      <c r="H87" s="35" t="s">
        <v>248</v>
      </c>
      <c r="I87" s="36" t="s">
        <v>246</v>
      </c>
      <c r="J87" s="36" t="s">
        <v>244</v>
      </c>
      <c r="K87" s="35" t="s">
        <v>248</v>
      </c>
      <c r="L87" s="36" t="s">
        <v>246</v>
      </c>
      <c r="M87" s="36" t="s">
        <v>244</v>
      </c>
      <c r="N87" s="386" t="s">
        <v>248</v>
      </c>
      <c r="O87" s="36" t="s">
        <v>246</v>
      </c>
      <c r="P87" s="36" t="s">
        <v>244</v>
      </c>
      <c r="Q87" s="35" t="s">
        <v>248</v>
      </c>
      <c r="R87" s="36" t="s">
        <v>246</v>
      </c>
      <c r="S87" s="37" t="s">
        <v>244</v>
      </c>
      <c r="T87" s="36" t="s">
        <v>248</v>
      </c>
      <c r="U87" s="36" t="s">
        <v>246</v>
      </c>
      <c r="V87" s="109" t="s">
        <v>244</v>
      </c>
    </row>
    <row r="88" spans="1:22" ht="13.5" thickTop="1" x14ac:dyDescent="0.2">
      <c r="A88" s="252" t="s">
        <v>345</v>
      </c>
      <c r="B88" s="253"/>
      <c r="C88" s="254"/>
      <c r="D88" s="255">
        <v>5</v>
      </c>
      <c r="E88" s="919">
        <f>Paramètres!DR70</f>
        <v>6.5</v>
      </c>
      <c r="F88" s="880">
        <f>Paramètres!DS70</f>
        <v>0</v>
      </c>
      <c r="G88" s="211">
        <f>E88+F88</f>
        <v>6.5</v>
      </c>
      <c r="H88" s="926">
        <f>Paramètres!DU70</f>
        <v>2.8</v>
      </c>
      <c r="I88" s="880">
        <f>Paramètres!DV70</f>
        <v>0</v>
      </c>
      <c r="J88" s="118">
        <f>H88+I88</f>
        <v>2.8</v>
      </c>
      <c r="K88" s="926">
        <f>Paramètres!DX70</f>
        <v>13</v>
      </c>
      <c r="L88" s="880">
        <f>Paramètres!DY70</f>
        <v>0</v>
      </c>
      <c r="M88" s="118">
        <f>K88+L88</f>
        <v>13</v>
      </c>
      <c r="N88" s="387">
        <f t="shared" ref="N88:V88" si="25">(E91-E88)/($D91-$D88)</f>
        <v>-0.73333333333333339</v>
      </c>
      <c r="O88" s="388">
        <f t="shared" si="25"/>
        <v>0</v>
      </c>
      <c r="P88" s="388">
        <f t="shared" si="25"/>
        <v>-0.73333333333333339</v>
      </c>
      <c r="Q88" s="390">
        <f t="shared" si="25"/>
        <v>-0.33333333333333326</v>
      </c>
      <c r="R88" s="388">
        <f t="shared" si="25"/>
        <v>0</v>
      </c>
      <c r="S88" s="389">
        <f t="shared" si="25"/>
        <v>-0.33333333333333326</v>
      </c>
      <c r="T88" s="388">
        <f t="shared" si="25"/>
        <v>-1.5</v>
      </c>
      <c r="U88" s="388">
        <f t="shared" si="25"/>
        <v>0</v>
      </c>
      <c r="V88" s="391">
        <f t="shared" si="25"/>
        <v>-1.5</v>
      </c>
    </row>
    <row r="89" spans="1:22" x14ac:dyDescent="0.2">
      <c r="A89" s="257" t="s">
        <v>342</v>
      </c>
      <c r="B89" s="258"/>
      <c r="C89" s="259"/>
      <c r="D89" s="260">
        <v>6</v>
      </c>
      <c r="E89" s="920">
        <f>Paramètres!DR71</f>
        <v>6</v>
      </c>
      <c r="F89" s="866">
        <f>Paramètres!DS71</f>
        <v>0</v>
      </c>
      <c r="G89" s="205">
        <f t="shared" ref="G89:G101" si="26">E89+F89</f>
        <v>6</v>
      </c>
      <c r="H89" s="865">
        <f>Paramètres!DU71</f>
        <v>2.5</v>
      </c>
      <c r="I89" s="866">
        <f>Paramètres!DV71</f>
        <v>0</v>
      </c>
      <c r="J89" s="128">
        <f t="shared" ref="J89:J101" si="27">H89+I89</f>
        <v>2.5</v>
      </c>
      <c r="K89" s="865">
        <f>Paramètres!DX71</f>
        <v>10.5</v>
      </c>
      <c r="L89" s="866">
        <f>Paramètres!DY71</f>
        <v>0</v>
      </c>
      <c r="M89" s="128">
        <f>K89+L89</f>
        <v>10.5</v>
      </c>
      <c r="N89" s="392">
        <f t="shared" ref="N89:V89" si="28">E91-N88*$D91</f>
        <v>10.166666666666668</v>
      </c>
      <c r="O89" s="393">
        <f t="shared" si="28"/>
        <v>0</v>
      </c>
      <c r="P89" s="393">
        <f t="shared" si="28"/>
        <v>10.166666666666668</v>
      </c>
      <c r="Q89" s="395">
        <f t="shared" si="28"/>
        <v>4.4666666666666659</v>
      </c>
      <c r="R89" s="393">
        <f t="shared" si="28"/>
        <v>0</v>
      </c>
      <c r="S89" s="394">
        <f t="shared" si="28"/>
        <v>4.4666666666666659</v>
      </c>
      <c r="T89" s="393">
        <f t="shared" si="28"/>
        <v>20.5</v>
      </c>
      <c r="U89" s="393">
        <f t="shared" si="28"/>
        <v>0</v>
      </c>
      <c r="V89" s="396">
        <f t="shared" si="28"/>
        <v>20.5</v>
      </c>
    </row>
    <row r="90" spans="1:22" x14ac:dyDescent="0.2">
      <c r="A90" s="120"/>
      <c r="B90" s="258"/>
      <c r="C90" s="259"/>
      <c r="D90" s="260">
        <v>7</v>
      </c>
      <c r="E90" s="920">
        <f>Paramètres!DR72</f>
        <v>4.8</v>
      </c>
      <c r="F90" s="866">
        <f>Paramètres!DS72</f>
        <v>0</v>
      </c>
      <c r="G90" s="205">
        <f t="shared" si="26"/>
        <v>4.8</v>
      </c>
      <c r="H90" s="865">
        <f>Paramètres!DU72</f>
        <v>2</v>
      </c>
      <c r="I90" s="866">
        <f>Paramètres!DV72</f>
        <v>0</v>
      </c>
      <c r="J90" s="128">
        <f t="shared" si="27"/>
        <v>2</v>
      </c>
      <c r="K90" s="865">
        <f>Paramètres!DX72</f>
        <v>9.5</v>
      </c>
      <c r="L90" s="866">
        <f>Paramètres!DY72</f>
        <v>0</v>
      </c>
      <c r="M90" s="128">
        <f>K90+L90</f>
        <v>9.5</v>
      </c>
      <c r="N90" s="397"/>
      <c r="O90" s="185"/>
      <c r="P90" s="128"/>
      <c r="Q90" s="316"/>
      <c r="R90" s="185"/>
      <c r="S90" s="205"/>
      <c r="T90" s="185"/>
      <c r="U90" s="185"/>
      <c r="V90" s="129"/>
    </row>
    <row r="91" spans="1:22" ht="13.5" thickBot="1" x14ac:dyDescent="0.25">
      <c r="A91" s="262"/>
      <c r="B91" s="258"/>
      <c r="C91" s="259"/>
      <c r="D91" s="260">
        <v>8</v>
      </c>
      <c r="E91" s="920">
        <f>Paramètres!DR73</f>
        <v>4.3</v>
      </c>
      <c r="F91" s="866">
        <f>Paramètres!DS73</f>
        <v>0</v>
      </c>
      <c r="G91" s="205">
        <f t="shared" si="26"/>
        <v>4.3</v>
      </c>
      <c r="H91" s="865">
        <f>Paramètres!DU73</f>
        <v>1.8</v>
      </c>
      <c r="I91" s="866">
        <f>Paramètres!DV73</f>
        <v>0</v>
      </c>
      <c r="J91" s="128">
        <f t="shared" si="27"/>
        <v>1.8</v>
      </c>
      <c r="K91" s="865">
        <f>Paramètres!DX73</f>
        <v>8.5</v>
      </c>
      <c r="L91" s="866">
        <f>Paramètres!DY73</f>
        <v>0</v>
      </c>
      <c r="M91" s="128">
        <f>K91+L91</f>
        <v>8.5</v>
      </c>
      <c r="N91" s="397"/>
      <c r="O91" s="185"/>
      <c r="P91" s="128"/>
      <c r="Q91" s="316"/>
      <c r="R91" s="185"/>
      <c r="S91" s="205"/>
      <c r="T91" s="185"/>
      <c r="U91" s="185"/>
      <c r="V91" s="129"/>
    </row>
    <row r="92" spans="1:22" ht="13.5" thickTop="1" x14ac:dyDescent="0.2">
      <c r="A92" s="80" t="s">
        <v>351</v>
      </c>
      <c r="B92" s="300">
        <v>1</v>
      </c>
      <c r="C92" s="300"/>
      <c r="D92" s="301"/>
      <c r="E92" s="1015"/>
      <c r="F92" s="305"/>
      <c r="G92" s="307"/>
      <c r="H92" s="304"/>
      <c r="I92" s="305"/>
      <c r="J92" s="399"/>
      <c r="K92" s="305"/>
      <c r="L92" s="305"/>
      <c r="M92" s="307"/>
      <c r="N92" s="400"/>
      <c r="O92" s="307"/>
      <c r="P92" s="307"/>
      <c r="Q92" s="398"/>
      <c r="R92" s="307"/>
      <c r="S92" s="399"/>
      <c r="T92" s="307"/>
      <c r="U92" s="307"/>
      <c r="V92" s="401"/>
    </row>
    <row r="93" spans="1:22" x14ac:dyDescent="0.2">
      <c r="A93" s="61" t="s">
        <v>352</v>
      </c>
      <c r="B93" s="50">
        <v>2</v>
      </c>
      <c r="C93" s="50"/>
      <c r="D93" s="212">
        <v>5</v>
      </c>
      <c r="E93" s="921">
        <f>Paramètres!DR75</f>
        <v>4.0999999999999996</v>
      </c>
      <c r="F93" s="916">
        <f>Paramètres!DS75</f>
        <v>0</v>
      </c>
      <c r="G93" s="215">
        <f t="shared" si="26"/>
        <v>4.0999999999999996</v>
      </c>
      <c r="H93" s="927">
        <f>Paramètres!DU75</f>
        <v>1.5</v>
      </c>
      <c r="I93" s="916">
        <f>Paramètres!DV75</f>
        <v>0</v>
      </c>
      <c r="J93" s="216">
        <f t="shared" si="27"/>
        <v>1.5</v>
      </c>
      <c r="K93" s="916">
        <f>Paramètres!DX75</f>
        <v>5.5</v>
      </c>
      <c r="L93" s="916">
        <f>Paramètres!DY75</f>
        <v>0</v>
      </c>
      <c r="M93" s="215">
        <f t="shared" ref="M93:M100" si="29">K93+L93</f>
        <v>5.5</v>
      </c>
      <c r="N93" s="402">
        <f t="shared" ref="N93:V93" si="30">(E96-E93)/($D96-$D93)</f>
        <v>-0.66666666666666652</v>
      </c>
      <c r="O93" s="403">
        <f t="shared" si="30"/>
        <v>0</v>
      </c>
      <c r="P93" s="403">
        <f t="shared" si="30"/>
        <v>-0.66666666666666652</v>
      </c>
      <c r="Q93" s="656">
        <f t="shared" si="30"/>
        <v>-0.26666666666666666</v>
      </c>
      <c r="R93" s="403">
        <f t="shared" si="30"/>
        <v>0</v>
      </c>
      <c r="S93" s="654">
        <f t="shared" si="30"/>
        <v>-0.26666666666666666</v>
      </c>
      <c r="T93" s="403">
        <f t="shared" si="30"/>
        <v>-0.83333333333333337</v>
      </c>
      <c r="U93" s="403">
        <f t="shared" si="30"/>
        <v>0</v>
      </c>
      <c r="V93" s="404">
        <f t="shared" si="30"/>
        <v>-0.83333333333333337</v>
      </c>
    </row>
    <row r="94" spans="1:22" x14ac:dyDescent="0.2">
      <c r="A94" s="61"/>
      <c r="B94" s="51"/>
      <c r="C94" s="51"/>
      <c r="D94" s="126">
        <v>6</v>
      </c>
      <c r="E94" s="920">
        <f>Paramètres!DR76</f>
        <v>3.2</v>
      </c>
      <c r="F94" s="866">
        <f>Paramètres!DS76</f>
        <v>0</v>
      </c>
      <c r="G94" s="128">
        <f t="shared" si="26"/>
        <v>3.2</v>
      </c>
      <c r="H94" s="865">
        <f>Paramètres!DU76</f>
        <v>1</v>
      </c>
      <c r="I94" s="866">
        <f>Paramètres!DV76</f>
        <v>0</v>
      </c>
      <c r="J94" s="205">
        <f t="shared" si="27"/>
        <v>1</v>
      </c>
      <c r="K94" s="866">
        <f>Paramètres!DX76</f>
        <v>4</v>
      </c>
      <c r="L94" s="866">
        <f>Paramètres!DY76</f>
        <v>0</v>
      </c>
      <c r="M94" s="128">
        <f t="shared" si="29"/>
        <v>4</v>
      </c>
      <c r="N94" s="392">
        <f t="shared" ref="N94:V94" si="31">E96-N93*$D96</f>
        <v>7.4333333333333318</v>
      </c>
      <c r="O94" s="393">
        <f t="shared" si="31"/>
        <v>0</v>
      </c>
      <c r="P94" s="393">
        <f t="shared" si="31"/>
        <v>7.4333333333333318</v>
      </c>
      <c r="Q94" s="395">
        <f t="shared" si="31"/>
        <v>2.833333333333333</v>
      </c>
      <c r="R94" s="393">
        <f t="shared" si="31"/>
        <v>0</v>
      </c>
      <c r="S94" s="394">
        <f t="shared" si="31"/>
        <v>2.833333333333333</v>
      </c>
      <c r="T94" s="393">
        <f t="shared" si="31"/>
        <v>9.6666666666666679</v>
      </c>
      <c r="U94" s="393">
        <f t="shared" si="31"/>
        <v>0</v>
      </c>
      <c r="V94" s="396">
        <f t="shared" si="31"/>
        <v>9.6666666666666679</v>
      </c>
    </row>
    <row r="95" spans="1:22" x14ac:dyDescent="0.2">
      <c r="A95" s="61"/>
      <c r="B95" s="51"/>
      <c r="C95" s="51"/>
      <c r="D95" s="126">
        <v>7</v>
      </c>
      <c r="E95" s="920">
        <f>Paramètres!DR77</f>
        <v>3.2</v>
      </c>
      <c r="F95" s="866">
        <f>Paramètres!DS77</f>
        <v>0</v>
      </c>
      <c r="G95" s="128">
        <f t="shared" si="26"/>
        <v>3.2</v>
      </c>
      <c r="H95" s="865">
        <f>Paramètres!DU77</f>
        <v>1</v>
      </c>
      <c r="I95" s="866">
        <f>Paramètres!DV77</f>
        <v>0</v>
      </c>
      <c r="J95" s="205">
        <f t="shared" si="27"/>
        <v>1</v>
      </c>
      <c r="K95" s="866">
        <f>Paramètres!DX77</f>
        <v>4</v>
      </c>
      <c r="L95" s="866">
        <f>Paramètres!DY77</f>
        <v>0</v>
      </c>
      <c r="M95" s="128">
        <f t="shared" si="29"/>
        <v>4</v>
      </c>
      <c r="N95" s="397"/>
      <c r="O95" s="185"/>
      <c r="P95" s="128"/>
      <c r="Q95" s="316"/>
      <c r="R95" s="185"/>
      <c r="S95" s="205"/>
      <c r="T95" s="185"/>
      <c r="U95" s="185"/>
      <c r="V95" s="129"/>
    </row>
    <row r="96" spans="1:22" x14ac:dyDescent="0.2">
      <c r="A96" s="61"/>
      <c r="B96" s="177"/>
      <c r="C96" s="177"/>
      <c r="D96" s="152">
        <v>8</v>
      </c>
      <c r="E96" s="922">
        <f>Paramètres!DR78</f>
        <v>2.1</v>
      </c>
      <c r="F96" s="868">
        <f>Paramètres!DS78</f>
        <v>0</v>
      </c>
      <c r="G96" s="153">
        <f t="shared" si="26"/>
        <v>2.1</v>
      </c>
      <c r="H96" s="867">
        <f>Paramètres!DU78</f>
        <v>0.7</v>
      </c>
      <c r="I96" s="868">
        <f>Paramètres!DV78</f>
        <v>0</v>
      </c>
      <c r="J96" s="275">
        <f t="shared" si="27"/>
        <v>0.7</v>
      </c>
      <c r="K96" s="868">
        <f>Paramètres!DX78</f>
        <v>3</v>
      </c>
      <c r="L96" s="868">
        <f>Paramètres!DY78</f>
        <v>0</v>
      </c>
      <c r="M96" s="153">
        <f t="shared" si="29"/>
        <v>3</v>
      </c>
      <c r="N96" s="406"/>
      <c r="O96" s="405"/>
      <c r="P96" s="153"/>
      <c r="Q96" s="423"/>
      <c r="R96" s="405"/>
      <c r="S96" s="275"/>
      <c r="T96" s="405"/>
      <c r="U96" s="405"/>
      <c r="V96" s="154"/>
    </row>
    <row r="97" spans="1:31" x14ac:dyDescent="0.2">
      <c r="A97" s="61"/>
      <c r="B97" s="51">
        <v>3</v>
      </c>
      <c r="C97" s="276" t="s">
        <v>357</v>
      </c>
      <c r="D97" s="126"/>
      <c r="E97" s="923">
        <f>Paramètres!DR79</f>
        <v>2.1</v>
      </c>
      <c r="F97" s="916">
        <f>Paramètres!DS79</f>
        <v>0</v>
      </c>
      <c r="G97" s="215">
        <f t="shared" si="26"/>
        <v>2.1</v>
      </c>
      <c r="H97" s="927">
        <f>Paramètres!DU79</f>
        <v>0.7</v>
      </c>
      <c r="I97" s="916">
        <f>Paramètres!DV79</f>
        <v>0</v>
      </c>
      <c r="J97" s="216">
        <f t="shared" si="27"/>
        <v>0.7</v>
      </c>
      <c r="K97" s="916">
        <f>Paramètres!DX79</f>
        <v>3</v>
      </c>
      <c r="L97" s="916">
        <f>Paramètres!DY79</f>
        <v>0</v>
      </c>
      <c r="M97" s="215">
        <f t="shared" si="29"/>
        <v>3</v>
      </c>
      <c r="N97" s="407"/>
      <c r="O97" s="314"/>
      <c r="P97" s="314"/>
      <c r="Q97" s="408"/>
      <c r="R97" s="314"/>
      <c r="S97" s="409"/>
      <c r="T97" s="314"/>
      <c r="U97" s="314"/>
      <c r="V97" s="410"/>
    </row>
    <row r="98" spans="1:31" x14ac:dyDescent="0.2">
      <c r="A98" s="61"/>
      <c r="B98" s="51"/>
      <c r="C98" s="130">
        <v>36</v>
      </c>
      <c r="D98" s="134">
        <v>5</v>
      </c>
      <c r="E98" s="924">
        <f>Paramètres!DR80</f>
        <v>3.2</v>
      </c>
      <c r="F98" s="881">
        <f>Paramètres!DS80</f>
        <v>0</v>
      </c>
      <c r="G98" s="136">
        <f t="shared" si="26"/>
        <v>3.2</v>
      </c>
      <c r="H98" s="928">
        <f>Paramètres!DU80</f>
        <v>1</v>
      </c>
      <c r="I98" s="881">
        <f>Paramètres!DV80</f>
        <v>0</v>
      </c>
      <c r="J98" s="280">
        <f t="shared" si="27"/>
        <v>1</v>
      </c>
      <c r="K98" s="881">
        <f>Paramètres!DX80</f>
        <v>4.5</v>
      </c>
      <c r="L98" s="881">
        <f>Paramètres!DY80</f>
        <v>0</v>
      </c>
      <c r="M98" s="136">
        <f t="shared" si="29"/>
        <v>4.5</v>
      </c>
      <c r="N98" s="411">
        <f t="shared" ref="N98:V98" si="32">(E101-E98)/($D101-$D98)</f>
        <v>-0.3666666666666667</v>
      </c>
      <c r="O98" s="412">
        <f t="shared" si="32"/>
        <v>0</v>
      </c>
      <c r="P98" s="412">
        <f t="shared" si="32"/>
        <v>-0.3666666666666667</v>
      </c>
      <c r="Q98" s="657">
        <f t="shared" si="32"/>
        <v>-0.10000000000000002</v>
      </c>
      <c r="R98" s="412">
        <f t="shared" si="32"/>
        <v>0</v>
      </c>
      <c r="S98" s="655">
        <f t="shared" si="32"/>
        <v>-0.10000000000000002</v>
      </c>
      <c r="T98" s="412">
        <f t="shared" si="32"/>
        <v>-0.5</v>
      </c>
      <c r="U98" s="412">
        <f t="shared" si="32"/>
        <v>0</v>
      </c>
      <c r="V98" s="413">
        <f t="shared" si="32"/>
        <v>-0.5</v>
      </c>
    </row>
    <row r="99" spans="1:31" x14ac:dyDescent="0.2">
      <c r="A99" s="61"/>
      <c r="B99" s="51"/>
      <c r="C99" s="51"/>
      <c r="D99" s="126">
        <v>6</v>
      </c>
      <c r="E99" s="920">
        <f>Paramètres!DR81</f>
        <v>3.2</v>
      </c>
      <c r="F99" s="866">
        <f>Paramètres!DS81</f>
        <v>0</v>
      </c>
      <c r="G99" s="128">
        <f t="shared" si="26"/>
        <v>3.2</v>
      </c>
      <c r="H99" s="865">
        <f>Paramètres!DU81</f>
        <v>1</v>
      </c>
      <c r="I99" s="866">
        <f>Paramètres!DV81</f>
        <v>0</v>
      </c>
      <c r="J99" s="205">
        <f t="shared" si="27"/>
        <v>1</v>
      </c>
      <c r="K99" s="866">
        <f>Paramètres!DX81</f>
        <v>4.5</v>
      </c>
      <c r="L99" s="866">
        <f>Paramètres!DY81</f>
        <v>0</v>
      </c>
      <c r="M99" s="128">
        <f t="shared" si="29"/>
        <v>4.5</v>
      </c>
      <c r="N99" s="392">
        <f t="shared" ref="N99:V99" si="33">E101-N98*$D101</f>
        <v>5.0333333333333332</v>
      </c>
      <c r="O99" s="393">
        <f t="shared" si="33"/>
        <v>0</v>
      </c>
      <c r="P99" s="393">
        <f t="shared" si="33"/>
        <v>5.0333333333333332</v>
      </c>
      <c r="Q99" s="395">
        <f t="shared" si="33"/>
        <v>1.5</v>
      </c>
      <c r="R99" s="393">
        <f t="shared" si="33"/>
        <v>0</v>
      </c>
      <c r="S99" s="394">
        <f t="shared" si="33"/>
        <v>1.5</v>
      </c>
      <c r="T99" s="393">
        <f t="shared" si="33"/>
        <v>7</v>
      </c>
      <c r="U99" s="393">
        <f t="shared" si="33"/>
        <v>0</v>
      </c>
      <c r="V99" s="396">
        <f t="shared" si="33"/>
        <v>7</v>
      </c>
    </row>
    <row r="100" spans="1:31" x14ac:dyDescent="0.2">
      <c r="A100" s="61"/>
      <c r="B100" s="51"/>
      <c r="C100" s="51"/>
      <c r="D100" s="126">
        <v>7</v>
      </c>
      <c r="E100" s="920">
        <f>Paramètres!DR82</f>
        <v>2.7</v>
      </c>
      <c r="F100" s="866">
        <f>Paramètres!DS82</f>
        <v>0</v>
      </c>
      <c r="G100" s="128">
        <f t="shared" si="26"/>
        <v>2.7</v>
      </c>
      <c r="H100" s="865">
        <f>Paramètres!DU82</f>
        <v>0.8</v>
      </c>
      <c r="I100" s="866">
        <f>Paramètres!DV82</f>
        <v>0</v>
      </c>
      <c r="J100" s="205">
        <f t="shared" si="27"/>
        <v>0.8</v>
      </c>
      <c r="K100" s="866">
        <f>Paramètres!DX82</f>
        <v>3.5</v>
      </c>
      <c r="L100" s="866">
        <f>Paramètres!DY82</f>
        <v>0</v>
      </c>
      <c r="M100" s="128">
        <f t="shared" si="29"/>
        <v>3.5</v>
      </c>
      <c r="N100" s="397"/>
      <c r="O100" s="185"/>
      <c r="P100" s="128"/>
      <c r="Q100" s="316"/>
      <c r="R100" s="185"/>
      <c r="S100" s="205"/>
      <c r="T100" s="185"/>
      <c r="U100" s="185"/>
      <c r="V100" s="129"/>
    </row>
    <row r="101" spans="1:31" ht="13.5" thickBot="1" x14ac:dyDescent="0.25">
      <c r="A101" s="72"/>
      <c r="B101" s="76"/>
      <c r="C101" s="76"/>
      <c r="D101" s="281">
        <v>8</v>
      </c>
      <c r="E101" s="925">
        <f>Paramètres!DR83</f>
        <v>2.1</v>
      </c>
      <c r="F101" s="882">
        <f>Paramètres!DS83</f>
        <v>0</v>
      </c>
      <c r="G101" s="207">
        <f t="shared" si="26"/>
        <v>2.1</v>
      </c>
      <c r="H101" s="929">
        <f>Paramètres!DU83</f>
        <v>0.7</v>
      </c>
      <c r="I101" s="882">
        <f>Paramètres!DV83</f>
        <v>0</v>
      </c>
      <c r="J101" s="208">
        <f t="shared" si="27"/>
        <v>0.7</v>
      </c>
      <c r="K101" s="882">
        <f>Paramètres!DX83</f>
        <v>3</v>
      </c>
      <c r="L101" s="882">
        <f>Paramètres!DY83</f>
        <v>0</v>
      </c>
      <c r="M101" s="207">
        <f>K101+L101</f>
        <v>3</v>
      </c>
      <c r="N101" s="415"/>
      <c r="O101" s="414"/>
      <c r="P101" s="207"/>
      <c r="Q101" s="439"/>
      <c r="R101" s="414"/>
      <c r="S101" s="208"/>
      <c r="T101" s="414"/>
      <c r="U101" s="414"/>
      <c r="V101" s="209"/>
    </row>
    <row r="102" spans="1:31" ht="13.5" thickTop="1" x14ac:dyDescent="0.2"/>
    <row r="103" spans="1:31" x14ac:dyDescent="0.2">
      <c r="P103" s="46"/>
      <c r="S103" s="46"/>
      <c r="U103" s="189"/>
      <c r="V103" s="33" t="s">
        <v>116</v>
      </c>
    </row>
    <row r="104" spans="1:31" x14ac:dyDescent="0.2">
      <c r="N104" s="3429" t="s">
        <v>256</v>
      </c>
      <c r="O104" s="3430"/>
      <c r="P104" s="3431"/>
      <c r="Q104" s="3429" t="s">
        <v>257</v>
      </c>
      <c r="R104" s="3430"/>
      <c r="S104" s="3431"/>
      <c r="T104" s="3429" t="s">
        <v>756</v>
      </c>
      <c r="U104" s="3430"/>
      <c r="V104" s="3431"/>
    </row>
    <row r="105" spans="1:31" x14ac:dyDescent="0.2">
      <c r="N105" s="35" t="s">
        <v>249</v>
      </c>
      <c r="O105" s="36" t="s">
        <v>247</v>
      </c>
      <c r="P105" s="36"/>
      <c r="Q105" s="35" t="s">
        <v>249</v>
      </c>
      <c r="R105" s="36" t="s">
        <v>247</v>
      </c>
      <c r="S105" s="37"/>
      <c r="T105" s="35" t="s">
        <v>249</v>
      </c>
      <c r="U105" s="36" t="s">
        <v>247</v>
      </c>
      <c r="V105" s="37"/>
    </row>
    <row r="106" spans="1:31" x14ac:dyDescent="0.2">
      <c r="C106" s="851"/>
      <c r="D106" s="852" t="s">
        <v>370</v>
      </c>
      <c r="F106" s="851"/>
      <c r="G106" s="851"/>
      <c r="H106" s="852" t="s">
        <v>369</v>
      </c>
      <c r="N106" s="35" t="s">
        <v>248</v>
      </c>
      <c r="O106" s="36" t="s">
        <v>246</v>
      </c>
      <c r="P106" s="36" t="s">
        <v>244</v>
      </c>
      <c r="Q106" s="35" t="s">
        <v>248</v>
      </c>
      <c r="R106" s="36" t="s">
        <v>246</v>
      </c>
      <c r="S106" s="37" t="s">
        <v>244</v>
      </c>
      <c r="T106" s="35" t="s">
        <v>248</v>
      </c>
      <c r="U106" s="36" t="s">
        <v>246</v>
      </c>
      <c r="V106" s="37" t="s">
        <v>244</v>
      </c>
    </row>
    <row r="107" spans="1:31" x14ac:dyDescent="0.2">
      <c r="D107" s="855">
        <f>IF(ATA_EnsHeVa=0,0,ATA_EnsHeVa-1)</f>
        <v>1</v>
      </c>
      <c r="H107" s="856">
        <f>TA_NbVaches</f>
        <v>22</v>
      </c>
      <c r="I107" s="226"/>
      <c r="J107" s="227"/>
      <c r="K107" s="227"/>
      <c r="L107" s="227"/>
      <c r="M107" s="228" t="s">
        <v>379</v>
      </c>
      <c r="N107" s="364">
        <f>E71+N71+W71+$D107*(N88*$W107+N89)</f>
        <v>20.033333333333335</v>
      </c>
      <c r="O107" s="364">
        <f t="shared" ref="O107:V107" si="34">F71+O71+X71+$D107*(O88*$W107+O89)</f>
        <v>49</v>
      </c>
      <c r="P107" s="416">
        <f t="shared" si="34"/>
        <v>69.033333333333331</v>
      </c>
      <c r="Q107" s="311">
        <f t="shared" si="34"/>
        <v>18.383333333333333</v>
      </c>
      <c r="R107" s="312">
        <f t="shared" si="34"/>
        <v>15.25</v>
      </c>
      <c r="S107" s="417">
        <f t="shared" si="34"/>
        <v>33.633333333333333</v>
      </c>
      <c r="T107" s="311">
        <f t="shared" si="34"/>
        <v>32.5</v>
      </c>
      <c r="U107" s="312">
        <f t="shared" si="34"/>
        <v>79</v>
      </c>
      <c r="V107" s="417">
        <f t="shared" si="34"/>
        <v>111.5</v>
      </c>
      <c r="W107" s="855">
        <f>IF(ATA_MoHeVa=0,0,ATA_MoHeVa+4)</f>
        <v>7</v>
      </c>
      <c r="X107" s="851" t="s">
        <v>362</v>
      </c>
      <c r="Y107" s="851"/>
      <c r="Z107" s="851"/>
      <c r="AA107" s="851"/>
      <c r="AB107" s="851"/>
      <c r="AC107" s="851"/>
      <c r="AD107" s="851"/>
      <c r="AE107" s="851"/>
    </row>
    <row r="108" spans="1:31" x14ac:dyDescent="0.2">
      <c r="D108" s="176"/>
      <c r="H108" s="857">
        <f>TA_NbGenAn1</f>
        <v>10</v>
      </c>
      <c r="I108" s="233"/>
      <c r="J108" s="46"/>
      <c r="K108" s="46"/>
      <c r="L108" s="46"/>
      <c r="M108" s="234" t="s">
        <v>366</v>
      </c>
      <c r="N108" s="345">
        <f t="shared" ref="N108:V108" si="35">E74+N74+W74</f>
        <v>17</v>
      </c>
      <c r="O108" s="345">
        <f t="shared" si="35"/>
        <v>10</v>
      </c>
      <c r="P108" s="418">
        <f t="shared" si="35"/>
        <v>27</v>
      </c>
      <c r="Q108" s="316">
        <f t="shared" si="35"/>
        <v>4.5</v>
      </c>
      <c r="R108" s="185">
        <f t="shared" si="35"/>
        <v>3.5</v>
      </c>
      <c r="S108" s="419">
        <f t="shared" si="35"/>
        <v>8</v>
      </c>
      <c r="T108" s="316">
        <f t="shared" si="35"/>
        <v>12</v>
      </c>
      <c r="U108" s="185">
        <f t="shared" si="35"/>
        <v>26</v>
      </c>
      <c r="V108" s="419">
        <f t="shared" si="35"/>
        <v>38</v>
      </c>
      <c r="W108" s="176"/>
    </row>
    <row r="109" spans="1:31" x14ac:dyDescent="0.2">
      <c r="D109" s="855">
        <f>IF(ATA_EnsHeG2=0,0,ATA_EnsHeG2-1)</f>
        <v>1</v>
      </c>
      <c r="H109" s="857">
        <f>TA_NbGenAn2</f>
        <v>6</v>
      </c>
      <c r="I109" s="233"/>
      <c r="J109" s="46"/>
      <c r="K109" s="46"/>
      <c r="L109" s="46"/>
      <c r="M109" s="234" t="s">
        <v>367</v>
      </c>
      <c r="N109" s="345">
        <f t="shared" ref="N109:V109" si="36">E75+N75+W75+$D109*(N93*$W109+N94)</f>
        <v>13.766666666666666</v>
      </c>
      <c r="O109" s="345">
        <f t="shared" si="36"/>
        <v>28</v>
      </c>
      <c r="P109" s="420">
        <f t="shared" si="36"/>
        <v>41.766666666666666</v>
      </c>
      <c r="Q109" s="316">
        <f t="shared" si="36"/>
        <v>8.8000000000000007</v>
      </c>
      <c r="R109" s="185">
        <f t="shared" si="36"/>
        <v>8.8333333333333339</v>
      </c>
      <c r="S109" s="419">
        <f t="shared" si="36"/>
        <v>17.633333333333333</v>
      </c>
      <c r="T109" s="316">
        <f t="shared" si="36"/>
        <v>17.5</v>
      </c>
      <c r="U109" s="185">
        <f t="shared" si="36"/>
        <v>40.333333333333336</v>
      </c>
      <c r="V109" s="419">
        <f t="shared" si="36"/>
        <v>57.833333333333336</v>
      </c>
      <c r="W109" s="855">
        <f>IF(ATA_MoHeGe2=0,0,ATA_MoHeGe2+4)</f>
        <v>7</v>
      </c>
      <c r="X109" s="851" t="s">
        <v>363</v>
      </c>
      <c r="Y109" s="851"/>
      <c r="Z109" s="851"/>
      <c r="AA109" s="851"/>
      <c r="AB109" s="851"/>
      <c r="AC109" s="851"/>
      <c r="AD109" s="851"/>
      <c r="AE109" s="851"/>
    </row>
    <row r="110" spans="1:31" x14ac:dyDescent="0.2">
      <c r="A110" s="852" t="s">
        <v>280</v>
      </c>
      <c r="H110" s="366"/>
      <c r="I110" s="233"/>
      <c r="J110" s="46"/>
      <c r="K110" s="46"/>
      <c r="L110" s="46"/>
      <c r="M110" s="234" t="s">
        <v>368</v>
      </c>
      <c r="N110" s="345"/>
      <c r="O110" s="345"/>
      <c r="P110" s="420"/>
      <c r="Q110" s="316"/>
      <c r="R110" s="185"/>
      <c r="S110" s="419"/>
      <c r="T110" s="316"/>
      <c r="U110" s="185"/>
      <c r="V110" s="419"/>
    </row>
    <row r="111" spans="1:31" x14ac:dyDescent="0.2">
      <c r="A111" s="852" t="s">
        <v>376</v>
      </c>
      <c r="B111" s="855">
        <f>IF(TA_TypeVela=1,1,0)</f>
        <v>0</v>
      </c>
      <c r="D111" s="855">
        <f>IF(ATA_EnsHe30=0,0,ATA_EnsHe30-1)</f>
        <v>1</v>
      </c>
      <c r="H111" s="857">
        <f>TA_NbGenAn3*B111</f>
        <v>0</v>
      </c>
      <c r="I111" s="233"/>
      <c r="J111" s="46"/>
      <c r="K111" s="46"/>
      <c r="L111" s="46"/>
      <c r="M111" s="234" t="s">
        <v>372</v>
      </c>
      <c r="N111" s="345">
        <f t="shared" ref="N111:V111" si="37">E78+N78+W78+$D111*E97</f>
        <v>2.1</v>
      </c>
      <c r="O111" s="345">
        <f t="shared" si="37"/>
        <v>0</v>
      </c>
      <c r="P111" s="420">
        <f t="shared" si="37"/>
        <v>2.1</v>
      </c>
      <c r="Q111" s="316">
        <f t="shared" si="37"/>
        <v>0.7</v>
      </c>
      <c r="R111" s="185">
        <f t="shared" si="37"/>
        <v>0</v>
      </c>
      <c r="S111" s="419">
        <f t="shared" si="37"/>
        <v>0.7</v>
      </c>
      <c r="T111" s="316">
        <f t="shared" si="37"/>
        <v>3</v>
      </c>
      <c r="U111" s="185">
        <f t="shared" si="37"/>
        <v>0</v>
      </c>
      <c r="V111" s="419">
        <f t="shared" si="37"/>
        <v>3</v>
      </c>
    </row>
    <row r="112" spans="1:31" x14ac:dyDescent="0.2">
      <c r="A112" s="852" t="s">
        <v>377</v>
      </c>
      <c r="B112" s="855">
        <f>IF(TA_TypeVela=2,1,0)</f>
        <v>1</v>
      </c>
      <c r="D112" s="855">
        <f>IF(ATA_EnsHe36=0,0,ATA_EnsHe36-1)</f>
        <v>1</v>
      </c>
      <c r="H112" s="858">
        <f>TA_NbGenAn3*B112</f>
        <v>6</v>
      </c>
      <c r="I112" s="239"/>
      <c r="J112" s="240"/>
      <c r="K112" s="240"/>
      <c r="L112" s="240"/>
      <c r="M112" s="241" t="s">
        <v>373</v>
      </c>
      <c r="N112" s="421">
        <f t="shared" ref="N112:V112" si="38">E79+N79+W79+$D112*(N98*$W112+N99)</f>
        <v>18.466666666666665</v>
      </c>
      <c r="O112" s="421">
        <f t="shared" si="38"/>
        <v>39.333333333333336</v>
      </c>
      <c r="P112" s="422">
        <f>G79+P79+Y79+$D112*(P98*$W112+P99)</f>
        <v>57.800000000000004</v>
      </c>
      <c r="Q112" s="423">
        <f t="shared" si="38"/>
        <v>10.8</v>
      </c>
      <c r="R112" s="405">
        <f t="shared" si="38"/>
        <v>13</v>
      </c>
      <c r="S112" s="424">
        <f t="shared" si="38"/>
        <v>23.8</v>
      </c>
      <c r="T112" s="423">
        <f t="shared" si="38"/>
        <v>23.833333333333321</v>
      </c>
      <c r="U112" s="405">
        <f t="shared" si="38"/>
        <v>56.333333333333336</v>
      </c>
      <c r="V112" s="424">
        <f t="shared" si="38"/>
        <v>80.166666666666657</v>
      </c>
      <c r="W112" s="855">
        <f>IF(ATA_MoHeG36=0,0,ATA_MoHeG36+4)</f>
        <v>7</v>
      </c>
      <c r="X112" s="851" t="s">
        <v>371</v>
      </c>
      <c r="Y112" s="851"/>
      <c r="Z112" s="851"/>
      <c r="AA112" s="851"/>
      <c r="AB112" s="851"/>
      <c r="AC112" s="851"/>
      <c r="AD112" s="851"/>
      <c r="AE112" s="851"/>
    </row>
    <row r="114" spans="4:22" x14ac:dyDescent="0.2">
      <c r="D114" s="851"/>
      <c r="E114" s="851"/>
      <c r="F114" s="852"/>
      <c r="G114" s="852" t="s">
        <v>768</v>
      </c>
      <c r="H114" s="855">
        <f>TA_NbGenAn1Vd</f>
        <v>4</v>
      </c>
      <c r="I114" s="851"/>
      <c r="J114" s="851"/>
      <c r="K114" s="851"/>
      <c r="L114" s="851"/>
      <c r="M114" s="852" t="s">
        <v>769</v>
      </c>
      <c r="N114" s="930">
        <f>Paramètres!DR90</f>
        <v>10</v>
      </c>
      <c r="O114" s="930">
        <f>Paramètres!DS90</f>
        <v>0</v>
      </c>
      <c r="P114" s="930">
        <f>Paramètres!DT90</f>
        <v>10</v>
      </c>
      <c r="Q114" s="930">
        <f>Paramètres!DU90</f>
        <v>4.5</v>
      </c>
      <c r="R114" s="930">
        <f>Paramètres!DV90</f>
        <v>0</v>
      </c>
      <c r="S114" s="930">
        <f>Paramètres!DW90</f>
        <v>4.5</v>
      </c>
      <c r="T114" s="930">
        <f>Paramètres!DX90</f>
        <v>12</v>
      </c>
      <c r="U114" s="930">
        <f>Paramètres!DY90</f>
        <v>0</v>
      </c>
      <c r="V114" s="930">
        <f>Paramètres!DZ90</f>
        <v>12</v>
      </c>
    </row>
    <row r="137" spans="23:23" x14ac:dyDescent="0.2">
      <c r="W137" s="188"/>
    </row>
  </sheetData>
  <sheetProtection algorithmName="SHA-512" hashValue="JBjYIqcLq9PHbdsiPne0atkYouBoFleA5pDYg3/TgKrfD+sUe+uudbGrH5LpQhJdGHYLs9IFmymnAZpym1PQGA==" saltValue="KtfNez8wMnJ6S4lc8BsXxw==" spinCount="100000" sheet="1" objects="1" scenarios="1"/>
  <mergeCells count="50">
    <mergeCell ref="E25:M25"/>
    <mergeCell ref="N25:V25"/>
    <mergeCell ref="W25:AE25"/>
    <mergeCell ref="W26:Y26"/>
    <mergeCell ref="Z26:AB26"/>
    <mergeCell ref="AC26:AE26"/>
    <mergeCell ref="E26:G26"/>
    <mergeCell ref="H26:J26"/>
    <mergeCell ref="N26:P26"/>
    <mergeCell ref="K26:M26"/>
    <mergeCell ref="T26:V26"/>
    <mergeCell ref="W48:AE48"/>
    <mergeCell ref="E49:G49"/>
    <mergeCell ref="H49:J49"/>
    <mergeCell ref="N49:P49"/>
    <mergeCell ref="Q49:S49"/>
    <mergeCell ref="W49:Y49"/>
    <mergeCell ref="Z49:AB49"/>
    <mergeCell ref="AC49:AE49"/>
    <mergeCell ref="N48:V48"/>
    <mergeCell ref="K49:M49"/>
    <mergeCell ref="E48:M48"/>
    <mergeCell ref="Z66:AB66"/>
    <mergeCell ref="E84:M84"/>
    <mergeCell ref="E65:M65"/>
    <mergeCell ref="N65:V65"/>
    <mergeCell ref="W65:AE65"/>
    <mergeCell ref="E66:G66"/>
    <mergeCell ref="H66:J66"/>
    <mergeCell ref="N66:P66"/>
    <mergeCell ref="AC66:AE66"/>
    <mergeCell ref="K66:M66"/>
    <mergeCell ref="E85:G85"/>
    <mergeCell ref="H85:J85"/>
    <mergeCell ref="Q66:S66"/>
    <mergeCell ref="W66:Y66"/>
    <mergeCell ref="Q85:S85"/>
    <mergeCell ref="K85:M85"/>
    <mergeCell ref="T85:V85"/>
    <mergeCell ref="T66:V66"/>
    <mergeCell ref="N104:P104"/>
    <mergeCell ref="Q104:S104"/>
    <mergeCell ref="N11:P11"/>
    <mergeCell ref="Q11:S11"/>
    <mergeCell ref="Q26:S26"/>
    <mergeCell ref="N84:V84"/>
    <mergeCell ref="N85:P85"/>
    <mergeCell ref="T104:V104"/>
    <mergeCell ref="T49:V49"/>
    <mergeCell ref="T11:V11"/>
  </mergeCells>
  <phoneticPr fontId="14" type="noConversion"/>
  <conditionalFormatting sqref="B79:AE79 B74:AE77 B69:AE70">
    <cfRule type="expression" dxfId="5" priority="2" stopIfTrue="1">
      <formula>IF($AF69=1,TRUE,FALSE)</formula>
    </cfRule>
  </conditionalFormatting>
  <conditionalFormatting sqref="Q107:R112 Q14:R19 N107:O112 T107:U112 N14:O19 T14:U19">
    <cfRule type="expression" dxfId="4" priority="3" stopIfTrue="1">
      <formula>IF(ISERROR(N14),TRUE,FALSE)</formula>
    </cfRule>
  </conditionalFormatting>
  <printOptions verticalCentered="1"/>
  <pageMargins left="0.78740157480314965" right="0.78740157480314965" top="0.59055118110236227" bottom="0.59055118110236227" header="0.59055118110236227" footer="0.59055118110236227"/>
  <pageSetup paperSize="9" scale="30"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tabColor theme="4" tint="0.39997558519241921"/>
    <pageSetUpPr fitToPage="1"/>
  </sheetPr>
  <dimension ref="A1:BZ297"/>
  <sheetViews>
    <sheetView topLeftCell="A60" workbookViewId="0">
      <selection activeCell="I72" sqref="I72"/>
    </sheetView>
  </sheetViews>
  <sheetFormatPr baseColWidth="10" defaultColWidth="11.42578125" defaultRowHeight="12.75" x14ac:dyDescent="0.2"/>
  <cols>
    <col min="1" max="1" width="2.28515625" style="1246" customWidth="1"/>
    <col min="2" max="2" width="9" style="2" customWidth="1"/>
    <col min="3" max="3" width="31.140625" style="2" customWidth="1"/>
    <col min="4" max="4" width="9.7109375" style="2" customWidth="1"/>
    <col min="5" max="7" width="8.7109375" style="2" customWidth="1"/>
    <col min="8" max="8" width="10.140625" style="2" customWidth="1"/>
    <col min="9" max="11" width="8.7109375" style="2" customWidth="1"/>
    <col min="12" max="12" width="9" style="2" customWidth="1"/>
    <col min="13" max="13" width="13" style="2" customWidth="1"/>
    <col min="14" max="14" width="11.140625" style="2" customWidth="1"/>
    <col min="15" max="15" width="10.7109375" style="2" customWidth="1"/>
    <col min="16" max="16" width="3.28515625" style="2" customWidth="1"/>
    <col min="17" max="26" width="14.5703125" style="2" customWidth="1"/>
    <col min="27" max="27" width="7.140625" style="2" hidden="1" customWidth="1"/>
    <col min="28" max="28" width="16" style="2" hidden="1" customWidth="1"/>
    <col min="29" max="29" width="5.85546875" style="2" hidden="1" customWidth="1"/>
    <col min="30" max="30" width="7.85546875" style="2" hidden="1" customWidth="1"/>
    <col min="31" max="31" width="12.85546875" style="2" hidden="1" customWidth="1"/>
    <col min="32" max="32" width="4.28515625" style="2" hidden="1" customWidth="1"/>
    <col min="33" max="33" width="23.42578125" style="2" hidden="1" customWidth="1"/>
    <col min="34" max="34" width="21.42578125" style="2" hidden="1" customWidth="1"/>
    <col min="35" max="37" width="9.42578125" style="2" hidden="1" customWidth="1"/>
    <col min="38" max="38" width="6.28515625" style="2" hidden="1" customWidth="1"/>
    <col min="39" max="40" width="14.85546875" style="2" hidden="1" customWidth="1"/>
    <col min="41" max="42" width="14.140625" style="2" hidden="1" customWidth="1"/>
    <col min="43" max="45" width="14.42578125" style="2" hidden="1" customWidth="1"/>
    <col min="46" max="49" width="15" style="2" hidden="1" customWidth="1"/>
    <col min="50" max="50" width="11.42578125" style="2" hidden="1" customWidth="1"/>
    <col min="51" max="51" width="45.7109375" style="2" hidden="1" customWidth="1"/>
    <col min="52" max="53" width="6" style="2" hidden="1" customWidth="1"/>
    <col min="54" max="54" width="7.7109375" style="2" hidden="1" customWidth="1"/>
    <col min="55" max="55" width="3.7109375" style="2" hidden="1" customWidth="1"/>
    <col min="56" max="57" width="6" style="2" hidden="1" customWidth="1"/>
    <col min="58" max="58" width="7.7109375" style="2" hidden="1" customWidth="1"/>
    <col min="59" max="59" width="4.28515625" style="2" hidden="1" customWidth="1"/>
    <col min="60" max="60" width="5" style="2" hidden="1" customWidth="1"/>
    <col min="61" max="61" width="6" style="2" hidden="1" customWidth="1"/>
    <col min="62" max="62" width="7.7109375" style="2" hidden="1" customWidth="1"/>
    <col min="63" max="63" width="5.42578125" style="2" hidden="1" customWidth="1"/>
    <col min="64" max="65" width="4" style="2" hidden="1" customWidth="1"/>
    <col min="66" max="67" width="5.5703125" style="2" hidden="1" customWidth="1"/>
    <col min="68" max="78" width="11.42578125" style="2" hidden="1" customWidth="1"/>
    <col min="79" max="79" width="11.42578125" style="2" customWidth="1"/>
    <col min="80" max="16384" width="11.42578125" style="2"/>
  </cols>
  <sheetData>
    <row r="1" spans="1:40" ht="20.100000000000001" customHeight="1" x14ac:dyDescent="0.2">
      <c r="A1" s="1245"/>
      <c r="B1" s="1"/>
      <c r="C1" s="1"/>
      <c r="D1" s="1"/>
      <c r="E1" s="1"/>
      <c r="F1" s="1"/>
      <c r="G1" s="1"/>
      <c r="H1" s="1"/>
      <c r="I1" s="1"/>
      <c r="J1" s="1"/>
      <c r="K1" s="1"/>
      <c r="L1" s="1"/>
      <c r="M1" s="1"/>
      <c r="N1" s="1"/>
      <c r="O1" s="1"/>
      <c r="P1" s="1799"/>
      <c r="Q1" s="1799"/>
      <c r="R1" s="1799"/>
      <c r="S1" s="1799"/>
      <c r="T1" s="1799"/>
      <c r="U1" s="1799"/>
      <c r="V1" s="1799"/>
      <c r="W1" s="1799"/>
      <c r="X1" s="1799"/>
      <c r="Y1" s="1799"/>
      <c r="Z1" s="1799"/>
      <c r="AA1" s="573"/>
    </row>
    <row r="2" spans="1:40" ht="18.75" customHeight="1" x14ac:dyDescent="0.2">
      <c r="A2" s="1245"/>
      <c r="B2" s="3" t="s">
        <v>1994</v>
      </c>
      <c r="C2" s="1"/>
      <c r="D2" s="1"/>
      <c r="E2" s="1"/>
      <c r="F2" s="1"/>
      <c r="G2" s="1"/>
      <c r="H2" s="1"/>
      <c r="I2" s="1"/>
      <c r="J2" s="1"/>
      <c r="K2" s="1"/>
      <c r="L2" s="1"/>
      <c r="M2" s="1"/>
      <c r="N2" s="1"/>
      <c r="O2" s="1"/>
      <c r="P2" s="1799"/>
      <c r="Q2" s="1799"/>
      <c r="R2" s="1799"/>
      <c r="S2" s="1799"/>
      <c r="T2" s="1799"/>
      <c r="U2" s="1799"/>
      <c r="V2" s="1799"/>
      <c r="W2" s="1799"/>
      <c r="X2" s="1799"/>
      <c r="Y2" s="1799"/>
      <c r="Z2" s="1799"/>
      <c r="AA2" s="573"/>
    </row>
    <row r="3" spans="1:40" ht="18.75" customHeight="1" x14ac:dyDescent="0.2">
      <c r="A3" s="1245"/>
      <c r="B3" s="1"/>
      <c r="C3" s="1" t="s">
        <v>1995</v>
      </c>
      <c r="D3" s="3010" t="s">
        <v>2469</v>
      </c>
      <c r="E3" s="3011"/>
      <c r="F3" s="3012"/>
      <c r="G3" s="1" t="s">
        <v>1997</v>
      </c>
      <c r="H3" s="1"/>
      <c r="I3" s="3013" t="s">
        <v>2464</v>
      </c>
      <c r="J3" s="3014"/>
      <c r="K3" s="3014"/>
      <c r="L3" s="3015"/>
      <c r="M3" s="1"/>
      <c r="N3" s="1"/>
      <c r="O3" s="1"/>
      <c r="P3" s="1799"/>
      <c r="Q3" s="1799"/>
      <c r="R3" s="1799"/>
      <c r="S3" s="1799"/>
      <c r="T3" s="1799"/>
      <c r="U3" s="1799"/>
      <c r="V3" s="1799"/>
      <c r="W3" s="1799"/>
      <c r="X3" s="1799"/>
      <c r="Y3" s="1799"/>
      <c r="Z3" s="1799"/>
      <c r="AA3" s="573"/>
    </row>
    <row r="4" spans="1:40" ht="18.75" customHeight="1" x14ac:dyDescent="0.2">
      <c r="A4" s="1245"/>
      <c r="B4" s="1"/>
      <c r="C4" s="1" t="s">
        <v>1996</v>
      </c>
      <c r="D4" s="3007"/>
      <c r="E4" s="3008"/>
      <c r="F4" s="3009"/>
      <c r="G4" s="1" t="s">
        <v>1998</v>
      </c>
      <c r="H4" s="1"/>
      <c r="I4" s="3016" t="s">
        <v>2468</v>
      </c>
      <c r="J4" s="3017"/>
      <c r="K4" s="3017"/>
      <c r="L4" s="3018"/>
      <c r="M4" s="1"/>
      <c r="N4" s="1"/>
      <c r="O4" s="1"/>
      <c r="P4" s="1799"/>
      <c r="Q4" s="1799"/>
      <c r="R4" s="1799"/>
      <c r="S4" s="1799"/>
      <c r="T4" s="1799"/>
      <c r="U4" s="1799"/>
      <c r="V4" s="1799"/>
      <c r="W4" s="1799"/>
      <c r="X4" s="1799"/>
      <c r="Y4" s="1799"/>
      <c r="Z4" s="1799"/>
      <c r="AA4" s="573"/>
    </row>
    <row r="5" spans="1:40" ht="5.0999999999999996" customHeight="1" x14ac:dyDescent="0.2">
      <c r="A5" s="1245"/>
      <c r="B5" s="1"/>
      <c r="C5" s="1"/>
      <c r="D5" s="1"/>
      <c r="E5" s="1"/>
      <c r="F5" s="1"/>
      <c r="G5" s="1"/>
      <c r="H5" s="1"/>
      <c r="I5" s="1"/>
      <c r="J5" s="1"/>
      <c r="K5" s="1"/>
      <c r="L5" s="1"/>
      <c r="M5" s="1"/>
      <c r="N5" s="1"/>
      <c r="O5" s="1"/>
      <c r="P5" s="1799"/>
      <c r="Q5" s="1799"/>
      <c r="R5" s="1799"/>
      <c r="S5" s="1799"/>
      <c r="T5" s="1799"/>
      <c r="U5" s="1799"/>
      <c r="V5" s="1799"/>
      <c r="W5" s="1799"/>
      <c r="X5" s="1799"/>
      <c r="Y5" s="1799"/>
      <c r="Z5" s="1799"/>
      <c r="AA5" s="573"/>
    </row>
    <row r="6" spans="1:40" ht="18.75" customHeight="1" x14ac:dyDescent="0.2">
      <c r="A6" s="1245"/>
      <c r="B6" s="3" t="s">
        <v>1436</v>
      </c>
      <c r="C6" s="3"/>
      <c r="D6" s="1"/>
      <c r="E6" s="1"/>
      <c r="F6" s="1"/>
      <c r="G6" s="1"/>
      <c r="H6" s="1"/>
      <c r="I6" s="1"/>
      <c r="J6" s="1"/>
      <c r="K6" s="1"/>
      <c r="L6" s="1"/>
      <c r="M6" s="1"/>
      <c r="N6" s="1"/>
      <c r="O6" s="1"/>
      <c r="P6" s="1799"/>
      <c r="Q6" s="1799"/>
      <c r="R6" s="1799"/>
      <c r="S6" s="1799"/>
      <c r="T6" s="1799"/>
      <c r="U6" s="1799"/>
      <c r="V6" s="1799"/>
      <c r="W6" s="1799"/>
      <c r="X6" s="1799"/>
      <c r="Y6" s="1799"/>
      <c r="Z6" s="1799"/>
      <c r="AA6" s="573"/>
    </row>
    <row r="7" spans="1:40" ht="3" customHeight="1" x14ac:dyDescent="0.2">
      <c r="A7" s="1245"/>
      <c r="B7" s="1"/>
      <c r="C7" s="1"/>
      <c r="D7" s="1"/>
      <c r="E7" s="1"/>
      <c r="F7" s="1"/>
      <c r="G7" s="1"/>
      <c r="H7" s="1"/>
      <c r="I7" s="1"/>
      <c r="J7" s="1"/>
      <c r="K7" s="1"/>
      <c r="L7" s="1"/>
      <c r="M7" s="1"/>
      <c r="N7" s="1"/>
      <c r="O7" s="1"/>
      <c r="P7" s="1799"/>
      <c r="Q7" s="1799"/>
      <c r="R7" s="1799"/>
      <c r="S7" s="1799"/>
      <c r="T7" s="1799"/>
      <c r="U7" s="1799"/>
      <c r="V7" s="1799"/>
      <c r="W7" s="1799"/>
      <c r="X7" s="1799"/>
      <c r="Y7" s="1799"/>
      <c r="Z7" s="1799"/>
      <c r="AA7" s="573"/>
    </row>
    <row r="8" spans="1:40" ht="18.75" customHeight="1" x14ac:dyDescent="0.2">
      <c r="A8" s="1245"/>
      <c r="B8" s="4" t="s">
        <v>158</v>
      </c>
      <c r="C8" s="1785"/>
      <c r="D8" s="18">
        <v>95</v>
      </c>
      <c r="E8" s="1" t="s">
        <v>156</v>
      </c>
      <c r="F8" s="1427" t="str">
        <f>IF(AF8=0,"","!!!! La somme des surfaces affectées est différente de la SAU")</f>
        <v/>
      </c>
      <c r="G8" s="1"/>
      <c r="H8" s="1"/>
      <c r="I8" s="1"/>
      <c r="J8" s="1"/>
      <c r="K8" s="1"/>
      <c r="L8" s="1"/>
      <c r="M8" s="1"/>
      <c r="N8" s="1"/>
      <c r="O8" s="1"/>
      <c r="P8" s="1799"/>
      <c r="Q8" s="1799"/>
      <c r="R8" s="1828"/>
      <c r="S8" s="1799"/>
      <c r="T8" s="1799"/>
      <c r="U8" s="1799"/>
      <c r="V8" s="1799"/>
      <c r="W8" s="1799"/>
      <c r="X8" s="1799"/>
      <c r="Y8" s="1799"/>
      <c r="Z8" s="1799"/>
      <c r="AA8" s="573"/>
      <c r="AE8" s="1429" t="s">
        <v>1038</v>
      </c>
      <c r="AF8" s="1428">
        <f>IF(SA_Jachere+SA_SFPc+SA_CA-SA_CA_Auto=SA_SAUtotale,0,1)</f>
        <v>0</v>
      </c>
    </row>
    <row r="9" spans="1:40" ht="3" customHeight="1" x14ac:dyDescent="0.2">
      <c r="A9" s="1245"/>
      <c r="B9" s="5"/>
      <c r="C9" s="5"/>
      <c r="D9" s="5"/>
      <c r="E9" s="5"/>
      <c r="F9" s="1"/>
      <c r="G9" s="1"/>
      <c r="H9" s="1"/>
      <c r="I9" s="1"/>
      <c r="J9" s="1"/>
      <c r="K9" s="1"/>
      <c r="L9" s="1"/>
      <c r="M9" s="1"/>
      <c r="N9" s="1"/>
      <c r="O9" s="1"/>
      <c r="P9" s="1799"/>
      <c r="Q9" s="1799"/>
      <c r="R9" s="1799"/>
      <c r="S9" s="1799"/>
      <c r="T9" s="1799"/>
      <c r="U9" s="1799"/>
      <c r="V9" s="1799"/>
      <c r="W9" s="1799"/>
      <c r="X9" s="1799"/>
      <c r="Y9" s="1799"/>
      <c r="Z9" s="1799"/>
      <c r="AA9" s="573"/>
    </row>
    <row r="10" spans="1:40" ht="18.75" customHeight="1" x14ac:dyDescent="0.2">
      <c r="A10" s="1245"/>
      <c r="B10" s="1627" t="s">
        <v>2317</v>
      </c>
      <c r="C10" s="1627"/>
      <c r="D10" s="18">
        <v>5</v>
      </c>
      <c r="E10" s="1" t="s">
        <v>156</v>
      </c>
      <c r="F10" s="1551">
        <f>SA_SAUtotale-SA_Jachere</f>
        <v>90</v>
      </c>
      <c r="G10" s="1253" t="s">
        <v>1977</v>
      </c>
      <c r="H10" s="1"/>
      <c r="I10" s="1245"/>
      <c r="J10" s="1"/>
      <c r="K10" s="1"/>
      <c r="L10" s="1"/>
      <c r="M10" s="1"/>
      <c r="N10" s="1"/>
      <c r="O10" s="1"/>
      <c r="P10" s="1799"/>
      <c r="Q10" s="1799"/>
      <c r="R10" s="1799"/>
      <c r="S10" s="1799"/>
      <c r="T10" s="1799"/>
      <c r="U10" s="1799"/>
      <c r="V10" s="1799"/>
      <c r="W10" s="1799"/>
      <c r="X10" s="1799"/>
      <c r="Y10" s="1799"/>
      <c r="Z10" s="1799"/>
      <c r="AA10" s="573"/>
    </row>
    <row r="11" spans="1:40" ht="23.1" customHeight="1" x14ac:dyDescent="0.2">
      <c r="A11" s="1245"/>
      <c r="B11" s="2149" t="s">
        <v>2316</v>
      </c>
      <c r="C11" s="1253"/>
      <c r="D11" s="4"/>
      <c r="E11" s="4"/>
      <c r="F11" s="4"/>
      <c r="G11" s="4"/>
      <c r="H11" s="1"/>
      <c r="I11" s="1245"/>
      <c r="J11" s="1"/>
      <c r="K11" s="1"/>
      <c r="L11" s="1"/>
      <c r="M11" s="1"/>
      <c r="N11" s="1"/>
      <c r="O11" s="1799"/>
      <c r="P11" s="1799"/>
      <c r="Q11" s="1799"/>
      <c r="R11" s="1799"/>
      <c r="S11" s="1799"/>
      <c r="T11" s="1799"/>
      <c r="U11" s="1799"/>
      <c r="V11" s="1799"/>
      <c r="W11" s="1799"/>
      <c r="X11" s="1799"/>
      <c r="Y11" s="1799"/>
      <c r="Z11" s="1799"/>
      <c r="AA11" s="573"/>
    </row>
    <row r="12" spans="1:40" ht="3" customHeight="1" x14ac:dyDescent="0.2">
      <c r="A12" s="1245"/>
      <c r="B12" s="5"/>
      <c r="C12" s="5"/>
      <c r="D12" s="5"/>
      <c r="E12" s="1"/>
      <c r="F12" s="1"/>
      <c r="G12" s="1"/>
      <c r="H12" s="1"/>
      <c r="I12" s="1"/>
      <c r="J12" s="1"/>
      <c r="K12" s="1"/>
      <c r="L12" s="1"/>
      <c r="M12" s="1"/>
      <c r="N12" s="1"/>
      <c r="O12" s="1"/>
      <c r="P12" s="1799"/>
      <c r="Q12" s="1799"/>
      <c r="R12" s="1799"/>
      <c r="S12" s="1799"/>
      <c r="T12" s="1799"/>
      <c r="U12" s="1799"/>
      <c r="V12" s="1799"/>
      <c r="W12" s="1799"/>
      <c r="X12" s="1799"/>
      <c r="Y12" s="1799"/>
      <c r="Z12" s="1799"/>
      <c r="AA12" s="573"/>
    </row>
    <row r="13" spans="1:40" ht="18.75" customHeight="1" x14ac:dyDescent="0.2">
      <c r="A13" s="1244"/>
      <c r="B13" s="2126" t="s">
        <v>2361</v>
      </c>
      <c r="C13" s="4"/>
      <c r="D13" s="1"/>
      <c r="E13" s="1"/>
      <c r="F13" s="1551">
        <f>SUM(D14:D16)</f>
        <v>74</v>
      </c>
      <c r="G13" s="571" t="s">
        <v>1025</v>
      </c>
      <c r="H13" s="571" t="s">
        <v>1026</v>
      </c>
      <c r="I13" s="1"/>
      <c r="J13" s="1"/>
      <c r="K13" s="1"/>
      <c r="L13" s="1"/>
      <c r="M13" s="1"/>
      <c r="N13" s="1"/>
      <c r="O13" s="1"/>
      <c r="P13" s="1799"/>
      <c r="Q13" s="1799"/>
      <c r="R13" s="1799"/>
      <c r="S13" s="1799"/>
      <c r="T13" s="1799"/>
      <c r="U13" s="1799"/>
      <c r="V13" s="1799"/>
      <c r="W13" s="1799"/>
      <c r="X13" s="1799"/>
      <c r="Y13" s="1799"/>
      <c r="Z13" s="1799"/>
      <c r="AA13"/>
      <c r="AB13"/>
      <c r="AC13"/>
      <c r="AD13"/>
      <c r="AE13"/>
      <c r="AF13"/>
      <c r="AG13"/>
      <c r="AH13"/>
      <c r="AI13"/>
      <c r="AJ13"/>
      <c r="AK13"/>
      <c r="AL13"/>
      <c r="AM13"/>
      <c r="AN13"/>
    </row>
    <row r="14" spans="1:40" ht="18.75" customHeight="1" x14ac:dyDescent="0.2">
      <c r="A14" s="1245"/>
      <c r="B14" s="2126" t="s">
        <v>2359</v>
      </c>
      <c r="C14" s="4"/>
      <c r="D14" s="18">
        <v>18</v>
      </c>
      <c r="E14" s="2126" t="s">
        <v>156</v>
      </c>
      <c r="F14" s="1551">
        <f>SA_PECAEp</f>
        <v>18</v>
      </c>
      <c r="G14" s="1253" t="s">
        <v>2050</v>
      </c>
      <c r="H14" s="1"/>
      <c r="I14" s="1"/>
      <c r="J14" s="1245"/>
      <c r="K14" s="567"/>
      <c r="L14" s="1"/>
      <c r="M14" s="1"/>
      <c r="N14" s="1"/>
      <c r="O14" s="1"/>
      <c r="P14" s="1799"/>
      <c r="Q14" s="1799"/>
      <c r="R14" s="1799"/>
      <c r="S14" s="1799"/>
      <c r="T14" s="1799"/>
      <c r="U14" s="1799"/>
      <c r="V14" s="1799"/>
      <c r="W14" s="1799"/>
      <c r="X14" s="1799"/>
      <c r="Y14" s="1799"/>
      <c r="Z14" s="1799"/>
      <c r="AB14"/>
      <c r="AC14"/>
      <c r="AD14"/>
      <c r="AE14"/>
      <c r="AF14"/>
      <c r="AG14"/>
      <c r="AH14"/>
      <c r="AI14"/>
      <c r="AJ14"/>
      <c r="AK14"/>
      <c r="AL14"/>
      <c r="AM14"/>
      <c r="AN14"/>
    </row>
    <row r="15" spans="1:40" ht="18.75" customHeight="1" x14ac:dyDescent="0.2">
      <c r="A15" s="1245"/>
      <c r="B15" s="2126" t="s">
        <v>2360</v>
      </c>
      <c r="C15" s="4"/>
      <c r="D15" s="18">
        <v>52</v>
      </c>
      <c r="E15" s="2126" t="s">
        <v>156</v>
      </c>
      <c r="F15" s="1551">
        <f>SA_PEPrEp</f>
        <v>52</v>
      </c>
      <c r="G15" s="1253" t="s">
        <v>2051</v>
      </c>
      <c r="H15" s="1"/>
      <c r="I15" s="1245"/>
      <c r="J15" s="1"/>
      <c r="K15" s="567"/>
      <c r="L15" s="1"/>
      <c r="M15" s="1"/>
      <c r="N15" s="1"/>
      <c r="O15" s="1"/>
      <c r="P15" s="1799"/>
      <c r="Q15" s="1799"/>
      <c r="R15" s="1799"/>
      <c r="S15" s="1799"/>
      <c r="T15" s="1799"/>
      <c r="U15" s="1799"/>
      <c r="V15" s="1799"/>
      <c r="W15" s="1799"/>
      <c r="X15" s="1799"/>
      <c r="Y15" s="1799"/>
      <c r="Z15" s="1799"/>
      <c r="AB15"/>
      <c r="AC15"/>
      <c r="AD15"/>
      <c r="AE15"/>
      <c r="AF15"/>
      <c r="AG15"/>
      <c r="AH15"/>
      <c r="AI15"/>
      <c r="AJ15"/>
      <c r="AK15"/>
      <c r="AL15"/>
      <c r="AM15"/>
      <c r="AN15"/>
    </row>
    <row r="16" spans="1:40" ht="30" customHeight="1" x14ac:dyDescent="0.2">
      <c r="A16" s="1245"/>
      <c r="B16" s="2981" t="s">
        <v>2362</v>
      </c>
      <c r="C16" s="2981"/>
      <c r="D16" s="18">
        <v>4</v>
      </c>
      <c r="E16" s="2126" t="s">
        <v>156</v>
      </c>
      <c r="F16" s="1253"/>
      <c r="G16" s="1253"/>
      <c r="H16" s="1"/>
      <c r="I16" s="1245"/>
      <c r="J16" s="1"/>
      <c r="K16" s="567"/>
      <c r="L16" s="1"/>
      <c r="M16" s="1"/>
      <c r="N16" s="1"/>
      <c r="O16" s="1"/>
      <c r="P16" s="1799"/>
      <c r="Q16" s="1799"/>
      <c r="R16" s="1799"/>
      <c r="S16" s="1799"/>
      <c r="T16" s="1799"/>
      <c r="U16" s="1799"/>
      <c r="V16" s="1799"/>
      <c r="W16" s="1799"/>
      <c r="X16" s="1799"/>
      <c r="Y16" s="1799"/>
      <c r="Z16" s="1799"/>
      <c r="AB16"/>
      <c r="AC16"/>
      <c r="AD16"/>
      <c r="AE16"/>
      <c r="AF16"/>
      <c r="AG16"/>
      <c r="AH16"/>
      <c r="AI16"/>
      <c r="AJ16"/>
      <c r="AK16"/>
      <c r="AL16"/>
      <c r="AM16"/>
      <c r="AN16"/>
    </row>
    <row r="17" spans="1:40" ht="3" customHeight="1" x14ac:dyDescent="0.2">
      <c r="A17" s="1245"/>
      <c r="B17" s="1"/>
      <c r="C17" s="1"/>
      <c r="D17" s="1"/>
      <c r="E17" s="1"/>
      <c r="F17" s="1"/>
      <c r="G17" s="1"/>
      <c r="H17" s="1"/>
      <c r="I17" s="1"/>
      <c r="J17" s="1"/>
      <c r="K17" s="1"/>
      <c r="L17" s="1"/>
      <c r="M17" s="1"/>
      <c r="N17" s="1"/>
      <c r="O17" s="1"/>
      <c r="P17" s="1799"/>
      <c r="Q17" s="1799"/>
      <c r="R17" s="1799"/>
      <c r="S17" s="1799"/>
      <c r="T17" s="1799"/>
      <c r="U17" s="1799"/>
      <c r="V17" s="1799"/>
      <c r="W17" s="1799"/>
      <c r="X17" s="1799"/>
      <c r="Y17" s="1799"/>
      <c r="Z17" s="1799"/>
      <c r="AA17" s="573"/>
      <c r="AB17"/>
      <c r="AC17"/>
      <c r="AD17"/>
      <c r="AE17"/>
      <c r="AF17"/>
      <c r="AG17"/>
      <c r="AH17"/>
      <c r="AI17"/>
      <c r="AJ17"/>
      <c r="AK17"/>
      <c r="AL17"/>
      <c r="AM17"/>
      <c r="AN17"/>
    </row>
    <row r="18" spans="1:40" ht="18.75" customHeight="1" x14ac:dyDescent="0.2">
      <c r="A18" s="1245"/>
      <c r="B18" s="1471" t="s">
        <v>1498</v>
      </c>
      <c r="C18" s="5"/>
      <c r="D18" s="1"/>
      <c r="E18" s="1245"/>
      <c r="F18" s="1551">
        <f>SUM(F14:F15)</f>
        <v>70</v>
      </c>
      <c r="G18" s="1253" t="s">
        <v>1499</v>
      </c>
      <c r="H18" s="1245"/>
      <c r="I18" s="1715">
        <f>100*SA_SAMO/SA_SAUnette</f>
        <v>77.777777777777771</v>
      </c>
      <c r="J18" s="1253" t="s">
        <v>1049</v>
      </c>
      <c r="K18" s="1"/>
      <c r="L18" s="1"/>
      <c r="M18" s="1"/>
      <c r="N18" s="1"/>
      <c r="O18" s="1"/>
      <c r="P18" s="1799"/>
      <c r="Q18" s="1799"/>
      <c r="R18" s="1799"/>
      <c r="S18" s="1799"/>
      <c r="T18" s="1799"/>
      <c r="U18" s="1799"/>
      <c r="V18" s="1799"/>
      <c r="W18" s="1799"/>
      <c r="X18" s="1799"/>
      <c r="Y18" s="1799"/>
      <c r="Z18" s="1799"/>
      <c r="AA18" s="573"/>
      <c r="AB18"/>
      <c r="AC18"/>
      <c r="AD18"/>
      <c r="AE18"/>
      <c r="AF18"/>
      <c r="AG18"/>
      <c r="AH18"/>
      <c r="AI18"/>
      <c r="AJ18"/>
      <c r="AK18"/>
      <c r="AL18"/>
      <c r="AM18"/>
      <c r="AN18"/>
    </row>
    <row r="19" spans="1:40" ht="3" customHeight="1" x14ac:dyDescent="0.2">
      <c r="A19" s="1245"/>
      <c r="B19" s="1"/>
      <c r="C19" s="1"/>
      <c r="D19" s="1"/>
      <c r="E19" s="1247"/>
      <c r="F19" s="1"/>
      <c r="G19" s="1"/>
      <c r="H19" s="1"/>
      <c r="I19" s="1"/>
      <c r="J19" s="1"/>
      <c r="K19" s="1"/>
      <c r="L19" s="1"/>
      <c r="M19" s="1"/>
      <c r="N19" s="1"/>
      <c r="O19" s="1"/>
      <c r="P19" s="1799"/>
      <c r="Q19" s="1799"/>
      <c r="R19" s="1799"/>
      <c r="S19" s="1799"/>
      <c r="T19" s="1799"/>
      <c r="U19" s="1799"/>
      <c r="V19" s="1799"/>
      <c r="W19" s="1799"/>
      <c r="X19" s="1799"/>
      <c r="Y19" s="1799"/>
      <c r="Z19" s="1799"/>
      <c r="AA19" s="573"/>
      <c r="AB19"/>
      <c r="AC19"/>
      <c r="AD19"/>
      <c r="AE19"/>
      <c r="AF19"/>
      <c r="AG19"/>
      <c r="AH19"/>
      <c r="AI19"/>
      <c r="AJ19"/>
      <c r="AK19"/>
      <c r="AL19"/>
      <c r="AM19"/>
      <c r="AN19"/>
    </row>
    <row r="20" spans="1:40" ht="18.75" customHeight="1" x14ac:dyDescent="0.2">
      <c r="A20" s="1245"/>
      <c r="B20" s="1472" t="s">
        <v>980</v>
      </c>
      <c r="C20" s="6"/>
      <c r="D20" s="1"/>
      <c r="E20" s="1245"/>
      <c r="F20" s="1551">
        <f>SUM(D24,D26:D27)</f>
        <v>80</v>
      </c>
      <c r="G20" s="1253" t="s">
        <v>1051</v>
      </c>
      <c r="H20" s="1"/>
      <c r="I20" s="1474">
        <f>100*SA_SFP/SA_SAUnette</f>
        <v>88.888888888888886</v>
      </c>
      <c r="J20" s="1253" t="s">
        <v>1049</v>
      </c>
      <c r="K20" s="1"/>
      <c r="L20" s="1"/>
      <c r="M20" s="1"/>
      <c r="N20" s="1"/>
      <c r="O20" s="1"/>
      <c r="P20" s="1799"/>
      <c r="Q20" s="1799"/>
      <c r="R20" s="1799"/>
      <c r="S20" s="1799"/>
      <c r="T20" s="1799"/>
      <c r="U20" s="1799"/>
      <c r="V20" s="1799"/>
      <c r="W20" s="1799"/>
      <c r="X20" s="1799"/>
      <c r="Y20" s="1799"/>
      <c r="Z20" s="1799"/>
      <c r="AA20" s="573"/>
      <c r="AB20"/>
      <c r="AC20"/>
      <c r="AD20"/>
      <c r="AE20"/>
      <c r="AF20"/>
      <c r="AG20"/>
      <c r="AH20"/>
      <c r="AI20"/>
      <c r="AJ20"/>
      <c r="AK20"/>
      <c r="AL20"/>
      <c r="AM20"/>
      <c r="AN20"/>
    </row>
    <row r="21" spans="1:40" ht="18.75" customHeight="1" x14ac:dyDescent="0.2">
      <c r="A21" s="1245"/>
      <c r="B21" s="6"/>
      <c r="C21" s="6"/>
      <c r="D21" s="1"/>
      <c r="E21" s="567"/>
      <c r="F21" s="1551">
        <f>SUM(D24,D26:D32)</f>
        <v>90</v>
      </c>
      <c r="G21" s="1" t="s">
        <v>162</v>
      </c>
      <c r="H21" s="1253" t="s">
        <v>1307</v>
      </c>
      <c r="I21" s="567"/>
      <c r="J21" s="1"/>
      <c r="K21" s="1"/>
      <c r="L21" s="1"/>
      <c r="M21" s="1"/>
      <c r="N21" s="1"/>
      <c r="O21" s="1"/>
      <c r="P21" s="1799"/>
      <c r="Q21" s="1799"/>
      <c r="R21" s="1799"/>
      <c r="S21" s="1799"/>
      <c r="T21" s="1799"/>
      <c r="U21" s="1799"/>
      <c r="V21" s="1799"/>
      <c r="W21" s="1799"/>
      <c r="X21" s="1799"/>
      <c r="Y21" s="1799"/>
      <c r="Z21" s="1799"/>
      <c r="AA21" s="573"/>
      <c r="AB21"/>
      <c r="AC21"/>
      <c r="AD21"/>
      <c r="AE21"/>
      <c r="AF21"/>
      <c r="AG21"/>
      <c r="AH21"/>
      <c r="AI21"/>
      <c r="AJ21"/>
      <c r="AK21"/>
      <c r="AL21"/>
      <c r="AM21"/>
      <c r="AN21"/>
    </row>
    <row r="22" spans="1:40" ht="3" customHeight="1" x14ac:dyDescent="0.2">
      <c r="A22" s="1245"/>
      <c r="B22" s="6"/>
      <c r="C22" s="6"/>
      <c r="D22" s="1"/>
      <c r="E22" s="567"/>
      <c r="F22" s="567"/>
      <c r="G22" s="567"/>
      <c r="H22" s="567"/>
      <c r="I22" s="567"/>
      <c r="J22" s="1"/>
      <c r="K22" s="1"/>
      <c r="L22" s="1"/>
      <c r="M22" s="1"/>
      <c r="N22" s="1"/>
      <c r="O22" s="1"/>
      <c r="P22" s="1799"/>
      <c r="Q22" s="1799"/>
      <c r="R22" s="1799"/>
      <c r="S22" s="1799"/>
      <c r="T22" s="1799"/>
      <c r="U22" s="1799"/>
      <c r="V22" s="1799"/>
      <c r="W22" s="1799"/>
      <c r="X22" s="1799"/>
      <c r="Y22" s="1799"/>
      <c r="Z22" s="1799"/>
      <c r="AA22" s="573"/>
    </row>
    <row r="23" spans="1:40" ht="18.75" customHeight="1" x14ac:dyDescent="0.2">
      <c r="A23" s="1245"/>
      <c r="B23" s="1486" t="s">
        <v>1334</v>
      </c>
      <c r="C23" s="6"/>
      <c r="D23" s="1"/>
      <c r="E23" s="567"/>
      <c r="F23" s="567"/>
      <c r="G23" s="567"/>
      <c r="H23" s="1245"/>
      <c r="I23" s="567"/>
      <c r="J23" s="1"/>
      <c r="K23" s="1"/>
      <c r="L23" s="1"/>
      <c r="M23" s="1"/>
      <c r="N23" s="1"/>
      <c r="O23" s="1"/>
      <c r="P23" s="1799"/>
      <c r="Q23" s="1799"/>
      <c r="R23" s="1799"/>
      <c r="S23" s="1799"/>
      <c r="T23" s="1799"/>
      <c r="U23" s="1799"/>
      <c r="V23" s="1799"/>
      <c r="W23" s="1799"/>
      <c r="X23" s="1799"/>
      <c r="Y23" s="1799"/>
      <c r="Z23" s="1799"/>
      <c r="AA23" s="573"/>
    </row>
    <row r="24" spans="1:40" ht="18.75" customHeight="1" x14ac:dyDescent="0.2">
      <c r="A24" s="1245"/>
      <c r="B24" s="1494" t="s">
        <v>1335</v>
      </c>
      <c r="C24" s="7"/>
      <c r="D24" s="18">
        <v>65</v>
      </c>
      <c r="E24" s="1" t="s">
        <v>434</v>
      </c>
      <c r="F24" s="567"/>
      <c r="G24" s="1"/>
      <c r="H24" s="617">
        <v>26</v>
      </c>
      <c r="I24" s="1" t="s">
        <v>435</v>
      </c>
      <c r="J24" s="1"/>
      <c r="K24" s="1"/>
      <c r="L24" s="1"/>
      <c r="M24" s="1"/>
      <c r="N24" s="1"/>
      <c r="O24" s="1"/>
      <c r="P24" s="1799"/>
      <c r="Q24" s="1799"/>
      <c r="R24" s="1799"/>
      <c r="S24" s="1799"/>
      <c r="T24" s="1799"/>
      <c r="U24" s="1799"/>
      <c r="V24" s="1799"/>
      <c r="W24" s="1799"/>
      <c r="X24" s="1799"/>
      <c r="Y24" s="1799"/>
      <c r="Z24" s="1799"/>
      <c r="AA24" s="573"/>
      <c r="AE24" s="590" t="s">
        <v>581</v>
      </c>
      <c r="AF24" s="1219">
        <f>SA_SFP_HerbeVL+SA_SFP_HerbeVAL</f>
        <v>44</v>
      </c>
    </row>
    <row r="25" spans="1:40" ht="18.75" customHeight="1" x14ac:dyDescent="0.2">
      <c r="A25" s="1245"/>
      <c r="B25" s="1716" t="s">
        <v>1500</v>
      </c>
      <c r="C25" s="7"/>
      <c r="D25" s="18">
        <v>8</v>
      </c>
      <c r="E25" s="1253" t="s">
        <v>156</v>
      </c>
      <c r="F25" s="567"/>
      <c r="G25" s="567"/>
      <c r="H25" s="617">
        <v>18</v>
      </c>
      <c r="I25" s="1" t="s">
        <v>436</v>
      </c>
      <c r="J25" s="1"/>
      <c r="K25" s="1"/>
      <c r="L25" s="1"/>
      <c r="M25" s="1"/>
      <c r="N25" s="1"/>
      <c r="O25" s="1"/>
      <c r="P25" s="1799"/>
      <c r="Q25" s="1799"/>
      <c r="R25" s="1799"/>
      <c r="S25" s="1799"/>
      <c r="T25" s="1799"/>
      <c r="U25" s="1799"/>
      <c r="V25" s="1799"/>
      <c r="W25" s="1799"/>
      <c r="X25" s="1799"/>
      <c r="Y25" s="1799"/>
      <c r="Z25" s="1799"/>
      <c r="AA25" s="573"/>
      <c r="AE25" s="590"/>
      <c r="AF25" s="590"/>
    </row>
    <row r="26" spans="1:40" ht="18.75" customHeight="1" x14ac:dyDescent="0.2">
      <c r="A26" s="1245"/>
      <c r="B26" s="2126" t="s">
        <v>2430</v>
      </c>
      <c r="C26" s="7"/>
      <c r="D26" s="18"/>
      <c r="E26" s="1253" t="s">
        <v>156</v>
      </c>
      <c r="F26" s="567"/>
      <c r="G26" s="1"/>
      <c r="H26" s="1551">
        <f>SA_SFP_Herbe-SA_SFP_HerbeVL-SA_SFP_HerbeVAL</f>
        <v>21</v>
      </c>
      <c r="I26" s="1253" t="s">
        <v>1336</v>
      </c>
      <c r="J26" s="1"/>
      <c r="K26" s="1"/>
      <c r="L26" s="1"/>
      <c r="M26" s="1"/>
      <c r="N26" s="1"/>
      <c r="O26" s="1"/>
      <c r="P26" s="1799"/>
      <c r="Q26" s="1799"/>
      <c r="R26" s="1799"/>
      <c r="S26" s="1799"/>
      <c r="T26" s="1799"/>
      <c r="U26" s="1799"/>
      <c r="V26" s="1799"/>
      <c r="W26" s="1799"/>
      <c r="X26" s="1799"/>
      <c r="Y26" s="1799"/>
      <c r="Z26" s="1799"/>
      <c r="AA26" s="573"/>
      <c r="AE26" s="590"/>
      <c r="AF26"/>
    </row>
    <row r="27" spans="1:40" ht="18.75" customHeight="1" x14ac:dyDescent="0.2">
      <c r="A27" s="1245"/>
      <c r="B27" s="1471" t="s">
        <v>1048</v>
      </c>
      <c r="C27" s="4"/>
      <c r="D27" s="18">
        <v>15</v>
      </c>
      <c r="E27" s="1" t="s">
        <v>156</v>
      </c>
      <c r="F27" s="567"/>
      <c r="G27" s="1"/>
      <c r="H27" s="1"/>
      <c r="I27" s="1"/>
      <c r="J27" s="1"/>
      <c r="K27" s="1"/>
      <c r="L27" s="1"/>
      <c r="M27" s="1"/>
      <c r="N27" s="1"/>
      <c r="O27" s="1"/>
      <c r="P27" s="1799"/>
      <c r="Q27" s="1799"/>
      <c r="R27" s="1799"/>
      <c r="S27" s="1799"/>
      <c r="T27" s="1799"/>
      <c r="U27" s="1799"/>
      <c r="V27" s="1799"/>
      <c r="W27" s="1799"/>
      <c r="X27" s="1799"/>
      <c r="Y27" s="1799"/>
      <c r="Z27" s="1799"/>
      <c r="AA27" s="573"/>
      <c r="AC27"/>
    </row>
    <row r="28" spans="1:40" ht="18.75" customHeight="1" x14ac:dyDescent="0.2">
      <c r="A28" s="1245"/>
      <c r="B28" s="7" t="s">
        <v>160</v>
      </c>
      <c r="C28" s="4"/>
      <c r="D28" s="1"/>
      <c r="E28" s="1"/>
      <c r="F28" s="1"/>
      <c r="G28" s="1"/>
      <c r="H28" s="1245"/>
      <c r="I28" s="1"/>
      <c r="J28" s="1"/>
      <c r="K28" s="1"/>
      <c r="L28" s="1"/>
      <c r="M28" s="1"/>
      <c r="N28" s="1"/>
      <c r="O28" s="1"/>
      <c r="P28" s="1799"/>
      <c r="Q28" s="1799"/>
      <c r="R28" s="1799"/>
      <c r="S28" s="1799"/>
      <c r="T28" s="1799"/>
      <c r="U28" s="1799"/>
      <c r="V28" s="1799"/>
      <c r="W28" s="1799"/>
      <c r="X28" s="1799"/>
      <c r="Y28" s="1799"/>
      <c r="Z28" s="1799"/>
      <c r="AA28" s="573"/>
      <c r="AC28"/>
    </row>
    <row r="29" spans="1:40" ht="18.75" customHeight="1" x14ac:dyDescent="0.2">
      <c r="A29" s="1245"/>
      <c r="B29" s="1" t="s">
        <v>159</v>
      </c>
      <c r="C29" s="1"/>
      <c r="D29" s="18">
        <v>5</v>
      </c>
      <c r="E29" s="1" t="s">
        <v>156</v>
      </c>
      <c r="F29" s="1"/>
      <c r="G29" s="1"/>
      <c r="H29" s="1"/>
      <c r="I29" s="1"/>
      <c r="J29" s="1475" t="s">
        <v>2052</v>
      </c>
      <c r="K29" s="728"/>
      <c r="L29" s="728"/>
      <c r="M29" s="729"/>
      <c r="N29" s="1"/>
      <c r="O29" s="1"/>
      <c r="P29" s="1799"/>
      <c r="Q29" s="1799"/>
      <c r="R29" s="1799"/>
      <c r="S29" s="1799"/>
      <c r="T29" s="1799"/>
      <c r="U29" s="1799"/>
      <c r="V29" s="1799"/>
      <c r="W29" s="1799"/>
      <c r="X29" s="1799"/>
      <c r="Y29" s="1799"/>
      <c r="Z29" s="1799"/>
      <c r="AA29" s="573"/>
      <c r="AC29"/>
    </row>
    <row r="30" spans="1:40" ht="18.75" customHeight="1" x14ac:dyDescent="0.2">
      <c r="A30" s="1245"/>
      <c r="B30" s="1" t="s">
        <v>202</v>
      </c>
      <c r="C30" s="1"/>
      <c r="D30" s="18">
        <v>5</v>
      </c>
      <c r="E30" s="1" t="s">
        <v>156</v>
      </c>
      <c r="F30" s="1"/>
      <c r="G30" s="1"/>
      <c r="H30" s="1"/>
      <c r="I30" s="1"/>
      <c r="J30" s="1609" t="s">
        <v>1308</v>
      </c>
      <c r="K30" s="10"/>
      <c r="L30" s="10"/>
      <c r="M30" s="1235"/>
      <c r="N30" s="1"/>
      <c r="O30" s="1"/>
      <c r="P30" s="1799"/>
      <c r="Q30" s="1799"/>
      <c r="R30" s="1799"/>
      <c r="S30" s="1799"/>
      <c r="T30" s="1799"/>
      <c r="U30" s="1799"/>
      <c r="V30" s="1799"/>
      <c r="W30" s="1799"/>
      <c r="X30" s="1799"/>
      <c r="Y30" s="1799"/>
      <c r="Z30" s="1799"/>
      <c r="AA30" s="573"/>
      <c r="AC30"/>
    </row>
    <row r="31" spans="1:40" ht="18.75" customHeight="1" x14ac:dyDescent="0.2">
      <c r="A31" s="1245"/>
      <c r="B31" s="1253" t="s">
        <v>2431</v>
      </c>
      <c r="C31" s="1"/>
      <c r="D31" s="18"/>
      <c r="E31" s="1" t="s">
        <v>156</v>
      </c>
      <c r="F31" s="1"/>
      <c r="G31" s="1"/>
      <c r="H31" s="1"/>
      <c r="I31" s="1243"/>
      <c r="J31" s="21">
        <f>IF(SA_SFPc=0,"",SA_SFP_Herbe/SA_SFPc)</f>
        <v>0.72222222222222221</v>
      </c>
      <c r="K31" s="10"/>
      <c r="L31" s="1250"/>
      <c r="M31" s="1235"/>
      <c r="N31" s="1"/>
      <c r="O31" s="1"/>
      <c r="P31" s="1799"/>
      <c r="Q31" s="1799"/>
      <c r="R31" s="1799"/>
      <c r="S31" s="1799"/>
      <c r="T31" s="1799"/>
      <c r="U31" s="1799"/>
      <c r="V31" s="1799"/>
      <c r="W31" s="1799"/>
      <c r="X31" s="1799"/>
      <c r="Y31" s="1799"/>
      <c r="Z31" s="1799"/>
      <c r="AA31" s="573"/>
    </row>
    <row r="32" spans="1:40" ht="18.75" customHeight="1" x14ac:dyDescent="0.2">
      <c r="A32" s="1245"/>
      <c r="B32" s="2981" t="s">
        <v>1501</v>
      </c>
      <c r="C32" s="2989"/>
      <c r="D32" s="18"/>
      <c r="E32" s="1" t="s">
        <v>156</v>
      </c>
      <c r="F32" s="1"/>
      <c r="G32" s="1"/>
      <c r="H32" s="1"/>
      <c r="I32" s="1"/>
      <c r="J32" s="3025" t="s">
        <v>1052</v>
      </c>
      <c r="K32" s="3026"/>
      <c r="L32" s="3026"/>
      <c r="M32" s="3027"/>
      <c r="N32" s="1"/>
      <c r="O32" s="1"/>
      <c r="P32" s="1799"/>
      <c r="Q32" s="1799"/>
      <c r="R32" s="1799"/>
      <c r="S32" s="1799"/>
      <c r="T32" s="1799"/>
      <c r="U32" s="1799"/>
      <c r="V32" s="1799"/>
      <c r="W32" s="1799"/>
      <c r="X32" s="1799"/>
      <c r="Y32" s="1799"/>
      <c r="Z32" s="1799"/>
      <c r="AA32" s="573"/>
    </row>
    <row r="33" spans="1:58" ht="30" customHeight="1" x14ac:dyDescent="0.2">
      <c r="A33" s="1245"/>
      <c r="B33" s="2989"/>
      <c r="C33" s="2989"/>
      <c r="D33" s="1"/>
      <c r="E33" s="1"/>
      <c r="F33" s="1"/>
      <c r="G33" s="1"/>
      <c r="H33" s="1"/>
      <c r="I33" s="1"/>
      <c r="J33" s="3028" t="s">
        <v>2029</v>
      </c>
      <c r="K33" s="3029"/>
      <c r="L33" s="3029"/>
      <c r="M33" s="3030"/>
      <c r="N33" s="1"/>
      <c r="O33" s="1"/>
      <c r="P33" s="1799"/>
      <c r="Q33" s="1799"/>
      <c r="R33" s="1799"/>
      <c r="S33" s="1799"/>
      <c r="T33" s="1799"/>
      <c r="U33" s="1799"/>
      <c r="V33" s="1799"/>
      <c r="W33" s="1799"/>
      <c r="X33" s="1799"/>
      <c r="Y33" s="1799"/>
      <c r="Z33" s="1799"/>
      <c r="AA33" s="573"/>
    </row>
    <row r="34" spans="1:58" ht="5.0999999999999996" customHeight="1" x14ac:dyDescent="0.2">
      <c r="A34" s="1245"/>
      <c r="B34" s="1"/>
      <c r="C34" s="1"/>
      <c r="D34" s="1"/>
      <c r="E34" s="1"/>
      <c r="F34" s="1"/>
      <c r="G34" s="1"/>
      <c r="H34" s="1"/>
      <c r="I34" s="1"/>
      <c r="J34" s="1382"/>
      <c r="K34" s="10"/>
      <c r="L34" s="10"/>
      <c r="M34" s="1235"/>
      <c r="N34" s="1"/>
      <c r="O34" s="1"/>
      <c r="P34" s="1799"/>
      <c r="Q34" s="1799"/>
      <c r="R34" s="1799"/>
      <c r="S34" s="1799"/>
      <c r="T34" s="1799"/>
      <c r="U34" s="1799"/>
      <c r="V34" s="1799"/>
      <c r="W34" s="1799"/>
      <c r="X34" s="1799"/>
      <c r="Y34" s="1799"/>
      <c r="Z34" s="1799"/>
      <c r="AA34" s="573"/>
    </row>
    <row r="35" spans="1:58" ht="18.75" customHeight="1" x14ac:dyDescent="0.2">
      <c r="A35" s="1245"/>
      <c r="B35" s="1473" t="s">
        <v>161</v>
      </c>
      <c r="C35" s="8"/>
      <c r="D35" s="1551">
        <f>SUM(D36:D41)</f>
        <v>25</v>
      </c>
      <c r="E35" s="1253" t="s">
        <v>1050</v>
      </c>
      <c r="F35" s="1"/>
      <c r="G35" s="1551">
        <f>100*SA_CA/SA_SAUnette</f>
        <v>27.777777777777779</v>
      </c>
      <c r="H35" s="1253" t="s">
        <v>1049</v>
      </c>
      <c r="I35" s="1"/>
      <c r="J35" s="21">
        <f>IF(SA_SFPc=0,"",(SA_SFP_Luz+SA_SFP_Mais)/SA_SFPc)</f>
        <v>0.16666666666666666</v>
      </c>
      <c r="K35" s="10"/>
      <c r="L35" s="1250"/>
      <c r="M35" s="1235"/>
      <c r="N35" s="1"/>
      <c r="O35" s="1"/>
      <c r="P35" s="1799"/>
      <c r="Q35" s="1799"/>
      <c r="R35" s="1799"/>
      <c r="S35" s="1799"/>
      <c r="T35" s="1799"/>
      <c r="U35" s="1799"/>
      <c r="V35" s="1799"/>
      <c r="W35" s="1799"/>
      <c r="X35" s="1799"/>
      <c r="Y35" s="1799"/>
      <c r="Z35" s="1799"/>
      <c r="AA35" s="573"/>
    </row>
    <row r="36" spans="1:58" ht="18.75" customHeight="1" x14ac:dyDescent="0.2">
      <c r="A36" s="1245"/>
      <c r="B36" s="1471" t="s">
        <v>1083</v>
      </c>
      <c r="C36" s="4"/>
      <c r="D36" s="1551">
        <f>SUM(D27:D32)</f>
        <v>25</v>
      </c>
      <c r="E36" s="1" t="s">
        <v>156</v>
      </c>
      <c r="F36" s="1"/>
      <c r="G36" s="1"/>
      <c r="H36" s="1"/>
      <c r="I36" s="1"/>
      <c r="J36" s="1609" t="s">
        <v>2028</v>
      </c>
      <c r="K36" s="10"/>
      <c r="L36" s="10"/>
      <c r="M36" s="1235"/>
      <c r="N36" s="1"/>
      <c r="O36" s="1"/>
      <c r="P36" s="1799"/>
      <c r="Q36" s="1799"/>
      <c r="R36" s="1799"/>
      <c r="S36" s="1799"/>
      <c r="T36" s="1799"/>
      <c r="U36" s="1799"/>
      <c r="V36" s="1799"/>
      <c r="W36" s="1799"/>
      <c r="X36" s="1799"/>
      <c r="Y36" s="1799"/>
      <c r="Z36" s="1799"/>
      <c r="AA36" s="573"/>
    </row>
    <row r="37" spans="1:58" ht="18.75" customHeight="1" x14ac:dyDescent="0.2">
      <c r="A37" s="1245"/>
      <c r="B37" s="1471" t="s">
        <v>1084</v>
      </c>
      <c r="C37" s="7"/>
      <c r="D37" s="18"/>
      <c r="E37" s="1" t="s">
        <v>156</v>
      </c>
      <c r="F37" s="1"/>
      <c r="G37" s="1"/>
      <c r="H37" s="1"/>
      <c r="I37" s="1"/>
      <c r="J37" s="21">
        <f>IF(SA_SFPc=0,"",SUM(D29:D32)/SA_SFPc)</f>
        <v>0.1111111111111111</v>
      </c>
      <c r="K37" s="620"/>
      <c r="L37" s="620"/>
      <c r="M37" s="1236"/>
      <c r="N37" s="1"/>
      <c r="O37" s="1"/>
      <c r="P37" s="1799"/>
      <c r="Q37" s="1799"/>
      <c r="R37" s="1799"/>
      <c r="S37" s="1799"/>
      <c r="T37" s="1799"/>
      <c r="U37" s="1799"/>
      <c r="V37" s="1799"/>
      <c r="W37" s="1799"/>
      <c r="X37" s="1799"/>
      <c r="Y37" s="1799"/>
      <c r="Z37" s="1799"/>
      <c r="AA37" s="573"/>
    </row>
    <row r="38" spans="1:58" ht="18.75" customHeight="1" x14ac:dyDescent="0.2">
      <c r="A38" s="1245"/>
      <c r="B38" s="1471" t="s">
        <v>1080</v>
      </c>
      <c r="C38" s="4"/>
      <c r="D38" s="18"/>
      <c r="E38" s="1" t="s">
        <v>156</v>
      </c>
      <c r="F38" s="1472" t="s">
        <v>1059</v>
      </c>
      <c r="G38" s="1"/>
      <c r="H38" s="1"/>
      <c r="I38" s="1"/>
      <c r="J38" s="1"/>
      <c r="K38" s="1"/>
      <c r="L38" s="1"/>
      <c r="M38" s="1"/>
      <c r="N38" s="1"/>
      <c r="O38" s="1"/>
      <c r="P38" s="1799"/>
      <c r="Q38" s="1799"/>
      <c r="R38" s="1799"/>
      <c r="S38" s="1799"/>
      <c r="T38" s="1799"/>
      <c r="U38" s="1799"/>
      <c r="V38" s="1799"/>
      <c r="W38" s="1799"/>
      <c r="X38" s="1799"/>
      <c r="Y38" s="1799"/>
      <c r="Z38" s="1799"/>
      <c r="AA38" s="573"/>
    </row>
    <row r="39" spans="1:58" ht="18.75" customHeight="1" x14ac:dyDescent="0.2">
      <c r="A39" s="1245"/>
      <c r="B39" s="1471" t="s">
        <v>1081</v>
      </c>
      <c r="C39" s="7"/>
      <c r="D39" s="1434"/>
      <c r="E39" s="1" t="s">
        <v>156</v>
      </c>
      <c r="F39" s="1471" t="s">
        <v>1047</v>
      </c>
      <c r="G39" s="1"/>
      <c r="H39" s="18">
        <v>20</v>
      </c>
      <c r="I39" s="1"/>
      <c r="J39" s="1"/>
      <c r="K39" s="1"/>
      <c r="L39" s="1"/>
      <c r="M39" s="1"/>
      <c r="N39" s="1"/>
      <c r="O39" s="1"/>
      <c r="P39" s="1799"/>
      <c r="Q39" s="1799"/>
      <c r="R39" s="1799"/>
      <c r="S39" s="1799"/>
      <c r="T39" s="1799"/>
      <c r="U39" s="1799"/>
      <c r="V39" s="1799"/>
      <c r="W39" s="1799"/>
      <c r="X39" s="1799"/>
      <c r="Y39" s="1799"/>
      <c r="Z39" s="1799"/>
      <c r="AA39" s="573"/>
      <c r="AR39" s="1736">
        <v>5</v>
      </c>
      <c r="AS39" s="1736">
        <v>5000</v>
      </c>
      <c r="AT39" s="1736">
        <v>0.95</v>
      </c>
    </row>
    <row r="40" spans="1:58" ht="18.75" customHeight="1" x14ac:dyDescent="0.2">
      <c r="A40" s="1245"/>
      <c r="B40" s="1471" t="s">
        <v>1085</v>
      </c>
      <c r="C40" s="4"/>
      <c r="D40" s="18"/>
      <c r="E40" s="1" t="s">
        <v>156</v>
      </c>
      <c r="F40" s="1471" t="s">
        <v>1046</v>
      </c>
      <c r="G40" s="1"/>
      <c r="H40" s="1"/>
      <c r="I40" s="1551">
        <f>100*H39/SA_CA</f>
        <v>80</v>
      </c>
      <c r="J40" s="1253" t="s">
        <v>509</v>
      </c>
      <c r="K40" s="1472" t="s">
        <v>1279</v>
      </c>
      <c r="L40" s="1"/>
      <c r="M40" s="1"/>
      <c r="N40" s="1"/>
      <c r="O40" s="1"/>
      <c r="P40" s="1799"/>
      <c r="Q40" s="1799"/>
      <c r="R40" s="1799"/>
      <c r="S40" s="1799"/>
      <c r="T40" s="1799"/>
      <c r="U40" s="1799"/>
      <c r="V40" s="1799"/>
      <c r="W40" s="1799"/>
      <c r="X40" s="1799"/>
      <c r="Y40" s="1799"/>
      <c r="Z40" s="1799"/>
      <c r="AA40" s="573"/>
      <c r="AR40" s="1736">
        <v>6</v>
      </c>
      <c r="AS40" s="1736">
        <v>6000</v>
      </c>
      <c r="AT40" s="1736">
        <v>1</v>
      </c>
    </row>
    <row r="41" spans="1:58" ht="18.75" customHeight="1" x14ac:dyDescent="0.2">
      <c r="A41" s="1245"/>
      <c r="B41" s="1471" t="s">
        <v>1082</v>
      </c>
      <c r="C41" s="4"/>
      <c r="D41" s="18"/>
      <c r="E41" s="1" t="s">
        <v>156</v>
      </c>
      <c r="F41" s="1471" t="s">
        <v>1060</v>
      </c>
      <c r="G41" s="1"/>
      <c r="H41" s="1"/>
      <c r="I41" s="1551">
        <f>100*H39/SA_SAUnette</f>
        <v>22.222222222222221</v>
      </c>
      <c r="J41" s="1253" t="s">
        <v>509</v>
      </c>
      <c r="K41" s="1471" t="s">
        <v>1060</v>
      </c>
      <c r="L41" s="1"/>
      <c r="M41" s="1551">
        <f>100*(H39+SA_SFP_Herbe)/SA_SAUnette</f>
        <v>94.444444444444443</v>
      </c>
      <c r="N41" s="1253" t="s">
        <v>509</v>
      </c>
      <c r="O41" s="1"/>
      <c r="P41" s="1799"/>
      <c r="Q41" s="1799"/>
      <c r="R41" s="1799"/>
      <c r="S41" s="1799"/>
      <c r="T41" s="1799"/>
      <c r="U41" s="1799"/>
      <c r="V41" s="1799"/>
      <c r="W41" s="1799"/>
      <c r="X41" s="1799"/>
      <c r="Y41" s="1799"/>
      <c r="Z41" s="1799"/>
      <c r="AA41" s="573"/>
      <c r="AR41" s="1736">
        <v>7</v>
      </c>
      <c r="AS41" s="1736">
        <v>7000</v>
      </c>
      <c r="AT41" s="1736">
        <v>1.0900000000000001</v>
      </c>
    </row>
    <row r="42" spans="1:58" ht="18.75" customHeight="1" x14ac:dyDescent="0.2">
      <c r="A42" s="1245"/>
      <c r="B42" s="4"/>
      <c r="C42" s="4"/>
      <c r="D42" s="4"/>
      <c r="E42" s="4"/>
      <c r="F42" s="1"/>
      <c r="G42" s="1"/>
      <c r="H42" s="1"/>
      <c r="I42" s="1"/>
      <c r="J42" s="1"/>
      <c r="K42" s="1"/>
      <c r="L42" s="1"/>
      <c r="M42" s="1"/>
      <c r="N42" s="1"/>
      <c r="O42" s="1"/>
      <c r="P42" s="1799"/>
      <c r="Q42" s="1799"/>
      <c r="R42" s="1799"/>
      <c r="S42" s="1799"/>
      <c r="T42" s="1799"/>
      <c r="U42" s="1799"/>
      <c r="V42" s="1799"/>
      <c r="W42" s="1799"/>
      <c r="X42" s="1799"/>
      <c r="Y42" s="1799"/>
      <c r="Z42" s="1799"/>
      <c r="AA42" s="573"/>
      <c r="AR42" s="1736">
        <v>8</v>
      </c>
      <c r="AS42" s="1736">
        <v>8000</v>
      </c>
      <c r="AT42" s="1736">
        <v>1.1499999999999999</v>
      </c>
    </row>
    <row r="43" spans="1:58" ht="18.75" customHeight="1" x14ac:dyDescent="0.2">
      <c r="A43" s="1245"/>
      <c r="B43" s="3" t="s">
        <v>2314</v>
      </c>
      <c r="C43" s="1"/>
      <c r="D43" s="1"/>
      <c r="E43" s="1"/>
      <c r="F43" s="1"/>
      <c r="G43" s="1"/>
      <c r="H43" s="1"/>
      <c r="I43" s="1"/>
      <c r="J43" s="1"/>
      <c r="K43" s="1"/>
      <c r="L43" s="1"/>
      <c r="M43" s="589"/>
      <c r="N43" s="1"/>
      <c r="O43" s="1"/>
      <c r="P43" s="1800"/>
      <c r="Q43" s="1800"/>
      <c r="R43" s="1800"/>
      <c r="S43" s="1800"/>
      <c r="T43" s="1800"/>
      <c r="U43" s="1800"/>
      <c r="V43" s="1800"/>
      <c r="W43" s="1800"/>
      <c r="X43" s="1800"/>
      <c r="Y43" s="1800"/>
      <c r="Z43" s="1800"/>
      <c r="AA43" s="593"/>
      <c r="AR43" s="1736">
        <v>9</v>
      </c>
      <c r="AS43" s="1736">
        <v>9000</v>
      </c>
      <c r="AT43" s="1736">
        <v>1.2</v>
      </c>
    </row>
    <row r="44" spans="1:58" ht="18.75" customHeight="1" x14ac:dyDescent="0.2">
      <c r="A44" s="1245"/>
      <c r="B44" s="3"/>
      <c r="C44" s="1"/>
      <c r="D44" s="1"/>
      <c r="E44" s="1"/>
      <c r="F44" s="1"/>
      <c r="G44" s="5" t="s">
        <v>235</v>
      </c>
      <c r="H44" s="19">
        <v>6800</v>
      </c>
      <c r="I44" s="1253" t="s">
        <v>106</v>
      </c>
      <c r="J44" s="1"/>
      <c r="K44" s="1"/>
      <c r="L44" s="1"/>
      <c r="M44" s="1721"/>
      <c r="N44" s="1"/>
      <c r="O44" s="1"/>
      <c r="P44" s="1800"/>
      <c r="Q44" s="1800"/>
      <c r="R44" s="1800"/>
      <c r="S44" s="1800"/>
      <c r="T44" s="1800"/>
      <c r="U44" s="1800"/>
      <c r="V44" s="1800"/>
      <c r="W44" s="1800"/>
      <c r="X44" s="1800"/>
      <c r="Y44" s="1800"/>
      <c r="Z44" s="1800"/>
      <c r="AA44" s="593"/>
      <c r="AR44" s="1736"/>
      <c r="AS44" s="1736"/>
      <c r="AT44" s="1736"/>
    </row>
    <row r="45" spans="1:58" ht="18.75" customHeight="1" x14ac:dyDescent="0.2">
      <c r="A45" s="1245"/>
      <c r="B45" s="3"/>
      <c r="C45" s="1"/>
      <c r="D45" s="1" t="s">
        <v>327</v>
      </c>
      <c r="E45" s="1"/>
      <c r="F45" s="5"/>
      <c r="G45" s="1476" t="s">
        <v>1531</v>
      </c>
      <c r="H45" s="19">
        <v>41</v>
      </c>
      <c r="I45" s="1476" t="s">
        <v>1648</v>
      </c>
      <c r="J45" s="1"/>
      <c r="K45" s="1"/>
      <c r="L45" s="595" t="s">
        <v>1326</v>
      </c>
      <c r="M45" s="1"/>
      <c r="N45" s="1"/>
      <c r="O45" s="1"/>
      <c r="P45" s="1799"/>
      <c r="Q45" s="1799"/>
      <c r="R45" s="1799"/>
      <c r="S45" s="1799"/>
      <c r="T45" s="1799"/>
      <c r="U45" s="1799"/>
      <c r="V45" s="1799"/>
      <c r="W45" s="1799"/>
      <c r="X45" s="1799"/>
      <c r="Y45" s="1799"/>
      <c r="Z45" s="1799"/>
      <c r="AA45" s="746" t="str">
        <f>ADDRESS(ROW(F48),COLUMN(F48))</f>
        <v>$F$48</v>
      </c>
      <c r="AB45" s="745" t="s">
        <v>465</v>
      </c>
      <c r="AC45" s="742">
        <v>1</v>
      </c>
      <c r="AD45" s="748" t="s">
        <v>328</v>
      </c>
      <c r="AE45" s="743"/>
      <c r="AF45" s="743"/>
      <c r="AG45" s="744"/>
      <c r="AH45" s="743"/>
      <c r="AI45" s="743"/>
      <c r="AJ45" s="743"/>
      <c r="AK45" s="744"/>
      <c r="AR45" s="1736">
        <v>10</v>
      </c>
      <c r="AS45" s="1736">
        <v>10000</v>
      </c>
      <c r="AT45" s="1736">
        <v>1.3</v>
      </c>
    </row>
    <row r="46" spans="1:58" ht="18.75" customHeight="1" x14ac:dyDescent="0.2">
      <c r="A46" s="1245"/>
      <c r="B46" s="1471" t="s">
        <v>1504</v>
      </c>
      <c r="C46" s="1"/>
      <c r="D46" s="1434">
        <v>51</v>
      </c>
      <c r="E46" s="1"/>
      <c r="F46" s="1"/>
      <c r="G46" s="1476" t="s">
        <v>1053</v>
      </c>
      <c r="H46" s="1477">
        <f>1.033*VL_Litrage*VL_NbVaches</f>
        <v>358244.39999999997</v>
      </c>
      <c r="I46" s="1253" t="s">
        <v>1530</v>
      </c>
      <c r="J46" s="1"/>
      <c r="K46" s="1"/>
      <c r="L46" s="594">
        <f>VL_NbVaches*AE46</f>
        <v>54.423120000000004</v>
      </c>
      <c r="M46" s="1245"/>
      <c r="N46" s="1"/>
      <c r="O46" s="1"/>
      <c r="P46" s="1799"/>
      <c r="Q46" s="1799"/>
      <c r="R46" s="1799"/>
      <c r="S46" s="1799"/>
      <c r="T46" s="1799"/>
      <c r="U46" s="1799"/>
      <c r="V46" s="1799"/>
      <c r="W46" s="1799"/>
      <c r="X46" s="1799"/>
      <c r="Y46" s="1799"/>
      <c r="Z46" s="1799"/>
      <c r="AD46"/>
      <c r="AE46" s="1735">
        <f>0.0000689*VL_Litrage+0.5986</f>
        <v>1.0671200000000001</v>
      </c>
      <c r="AF46" s="744" t="s">
        <v>922</v>
      </c>
      <c r="AG46" s="753"/>
      <c r="AH46" s="753"/>
      <c r="AI46" s="753"/>
      <c r="AJ46" s="743"/>
      <c r="AK46" s="744"/>
    </row>
    <row r="47" spans="1:58" ht="18.75" customHeight="1" x14ac:dyDescent="0.2">
      <c r="A47" s="1245"/>
      <c r="B47" s="7" t="s">
        <v>410</v>
      </c>
      <c r="C47" s="1"/>
      <c r="D47" s="18">
        <v>16</v>
      </c>
      <c r="E47" s="1"/>
      <c r="F47" s="1"/>
      <c r="G47" s="1476" t="s">
        <v>1053</v>
      </c>
      <c r="H47" s="1477">
        <f>0.4*H46+0.015*H46*H45</f>
        <v>363618.06599999999</v>
      </c>
      <c r="I47" s="1253" t="s">
        <v>1529</v>
      </c>
      <c r="J47" s="1"/>
      <c r="K47" s="1"/>
      <c r="L47" s="594">
        <f>VL_NbGenAn1*AE47</f>
        <v>4.8</v>
      </c>
      <c r="M47" s="1245"/>
      <c r="N47" s="1"/>
      <c r="O47" s="1"/>
      <c r="P47" s="1799"/>
      <c r="Q47" s="1799"/>
      <c r="R47" s="1799"/>
      <c r="S47" s="1799"/>
      <c r="T47" s="1799"/>
      <c r="U47" s="1799"/>
      <c r="V47" s="1799"/>
      <c r="W47" s="1799"/>
      <c r="X47" s="1799"/>
      <c r="Y47" s="1799"/>
      <c r="Z47" s="1799"/>
      <c r="AD47" s="746" t="str">
        <f>ADDRESS(ROW(L47),COLUMN(L47))</f>
        <v>$L$47</v>
      </c>
      <c r="AE47" s="754">
        <f>Paramètres!E11</f>
        <v>0.3</v>
      </c>
      <c r="AF47" s="744" t="s">
        <v>923</v>
      </c>
      <c r="AG47" s="753"/>
      <c r="AH47" s="753"/>
      <c r="AI47" s="753"/>
      <c r="AJ47" s="743"/>
      <c r="AK47" s="744"/>
      <c r="AM47" s="772" t="s">
        <v>562</v>
      </c>
      <c r="AN47" s="773" t="s">
        <v>563</v>
      </c>
    </row>
    <row r="48" spans="1:58" ht="18.75" customHeight="1" x14ac:dyDescent="0.2">
      <c r="A48" s="1245"/>
      <c r="B48" s="7" t="s">
        <v>411</v>
      </c>
      <c r="C48" s="1"/>
      <c r="D48" s="18">
        <v>16</v>
      </c>
      <c r="E48" s="1"/>
      <c r="F48" s="1" t="s">
        <v>171</v>
      </c>
      <c r="G48" s="1"/>
      <c r="H48" s="1"/>
      <c r="I48" s="1"/>
      <c r="J48" s="1245"/>
      <c r="K48" s="1"/>
      <c r="L48" s="594">
        <f>VL_NbGenAn2*AE48</f>
        <v>12</v>
      </c>
      <c r="M48" s="1245"/>
      <c r="N48" s="1"/>
      <c r="O48" s="1"/>
      <c r="P48" s="1799"/>
      <c r="Q48" s="1799"/>
      <c r="R48" s="1799"/>
      <c r="S48" s="1799"/>
      <c r="T48" s="1799"/>
      <c r="U48" s="1799"/>
      <c r="V48" s="1799"/>
      <c r="W48" s="1799"/>
      <c r="X48" s="1799"/>
      <c r="Y48" s="1799"/>
      <c r="Z48" s="1799"/>
      <c r="AD48" s="747" t="str">
        <f>ADDRESS(ROW(L48),COLUMN(L48))</f>
        <v>$L$48</v>
      </c>
      <c r="AE48" s="782">
        <f>IF(VL_TypeVela=1,AM48,IF(VL_TypeVela=2,AN48,0))</f>
        <v>0.75</v>
      </c>
      <c r="AF48" s="738" t="s">
        <v>924</v>
      </c>
      <c r="AG48" s="789"/>
      <c r="AH48" s="789"/>
      <c r="AI48" s="789"/>
      <c r="AJ48" s="737"/>
      <c r="AK48" s="737"/>
      <c r="AL48" s="737"/>
      <c r="AM48" s="790">
        <f>Paramètres!E16</f>
        <v>0.75</v>
      </c>
      <c r="AN48" s="755">
        <f>Paramètres!F16</f>
        <v>0.6</v>
      </c>
      <c r="AZ48" s="2984" t="s">
        <v>541</v>
      </c>
      <c r="BA48" s="2984"/>
      <c r="BB48" s="2984"/>
      <c r="BD48" s="2984" t="s">
        <v>1402</v>
      </c>
      <c r="BE48" s="2984"/>
      <c r="BF48" s="2984"/>
    </row>
    <row r="49" spans="1:58" ht="18.75" customHeight="1" x14ac:dyDescent="0.2">
      <c r="A49" s="1245"/>
      <c r="B49" s="7" t="str">
        <f>IF(VL_TypeVela=1,"● génisses renouv. (25-30 mois; année 3)",IF(VL_TypeVela=2,"● génisses renouv. (25-36 mois; année 3)",""))</f>
        <v>● génisses renouv. (25-30 mois; année 3)</v>
      </c>
      <c r="C49" s="7"/>
      <c r="D49" s="18">
        <v>15</v>
      </c>
      <c r="E49" s="1"/>
      <c r="F49" s="13"/>
      <c r="G49" s="13" t="s">
        <v>270</v>
      </c>
      <c r="H49" s="18">
        <v>30</v>
      </c>
      <c r="I49" s="10" t="s">
        <v>175</v>
      </c>
      <c r="J49" s="1"/>
      <c r="K49" s="1"/>
      <c r="L49" s="594">
        <f>VL_NbGenAn3*AE49*(AP49-24)/12</f>
        <v>6</v>
      </c>
      <c r="M49" s="1245"/>
      <c r="N49" s="1"/>
      <c r="O49" s="1"/>
      <c r="P49" s="1799"/>
      <c r="Q49" s="1799"/>
      <c r="R49" s="1799"/>
      <c r="S49" s="1799"/>
      <c r="T49" s="1799"/>
      <c r="U49" s="1799"/>
      <c r="V49" s="1799"/>
      <c r="W49" s="1799"/>
      <c r="X49" s="1799"/>
      <c r="Y49" s="1799"/>
      <c r="Z49" s="1799"/>
      <c r="AD49" s="752" t="str">
        <f>ADDRESS(ROW(L49),COLUMN(L49))</f>
        <v>$L$49</v>
      </c>
      <c r="AE49" s="608">
        <f>IF(VL_TypeVela=1,AM49,IF(VL_TypeVela=2,AN49,0))</f>
        <v>0.8</v>
      </c>
      <c r="AF49" s="740" t="s">
        <v>925</v>
      </c>
      <c r="AG49" s="762"/>
      <c r="AH49" s="762"/>
      <c r="AI49" s="762"/>
      <c r="AJ49" s="739"/>
      <c r="AK49" s="739"/>
      <c r="AL49" s="739"/>
      <c r="AM49" s="791">
        <f>Paramètres!E17</f>
        <v>0.8</v>
      </c>
      <c r="AN49" s="756">
        <f>Paramètres!F17</f>
        <v>0.8</v>
      </c>
      <c r="AP49" s="17">
        <f>IF(VL_TypeVela=1,VL_AgeVelPre,36)</f>
        <v>30</v>
      </c>
      <c r="AZ49" s="1567" t="s">
        <v>244</v>
      </c>
      <c r="BA49" s="1662" t="s">
        <v>1320</v>
      </c>
      <c r="BB49" s="1662" t="s">
        <v>123</v>
      </c>
      <c r="BD49" s="1567" t="s">
        <v>244</v>
      </c>
      <c r="BE49" s="1662" t="s">
        <v>1320</v>
      </c>
      <c r="BF49" s="1662" t="s">
        <v>123</v>
      </c>
    </row>
    <row r="50" spans="1:58" ht="18.75" customHeight="1" x14ac:dyDescent="0.2">
      <c r="A50" s="1245"/>
      <c r="B50" s="7"/>
      <c r="C50" s="7"/>
      <c r="D50" s="7"/>
      <c r="E50" s="1"/>
      <c r="F50" s="1"/>
      <c r="G50" s="1476" t="s">
        <v>1238</v>
      </c>
      <c r="H50" s="19">
        <v>620</v>
      </c>
      <c r="I50" s="1253" t="s">
        <v>1237</v>
      </c>
      <c r="J50" s="1"/>
      <c r="K50" s="1618" t="s">
        <v>1338</v>
      </c>
      <c r="L50" s="1619">
        <f>SUM(L46:L49)</f>
        <v>77.223119999999994</v>
      </c>
      <c r="M50" s="1245"/>
      <c r="N50" s="1"/>
      <c r="O50" s="1"/>
      <c r="P50" s="1799"/>
      <c r="Q50" s="1799"/>
      <c r="R50" s="1799"/>
      <c r="S50" s="1799"/>
      <c r="T50" s="1799"/>
      <c r="U50" s="1799"/>
      <c r="V50" s="1799"/>
      <c r="W50" s="1799"/>
      <c r="X50" s="1799"/>
      <c r="Y50" s="1799"/>
      <c r="Z50" s="1799"/>
      <c r="AA50" s="573"/>
      <c r="AE50" s="741" t="s">
        <v>466</v>
      </c>
      <c r="AF50" s="761">
        <f>IF(ISBLANK(H49),0,IF(H49&lt;28.5,1,2))</f>
        <v>2</v>
      </c>
      <c r="AG50" s="748" t="s">
        <v>271</v>
      </c>
      <c r="AH50" s="743"/>
      <c r="AI50" s="743"/>
      <c r="AJ50" s="744"/>
      <c r="AK50" s="744"/>
      <c r="AY50" s="1567" t="s">
        <v>1387</v>
      </c>
      <c r="AZ50" s="1568">
        <f>BA50</f>
        <v>9300</v>
      </c>
      <c r="BA50" s="1568">
        <f>VL_PdsGeVel*VL_NbGenAn3</f>
        <v>9300</v>
      </c>
      <c r="BD50" s="1568">
        <f>BE50</f>
        <v>8556</v>
      </c>
      <c r="BE50" s="1568">
        <f>0.92*BA50</f>
        <v>8556</v>
      </c>
    </row>
    <row r="51" spans="1:58" ht="18.75" customHeight="1" x14ac:dyDescent="0.2">
      <c r="A51" s="1245"/>
      <c r="B51" s="1471" t="s">
        <v>1502</v>
      </c>
      <c r="C51" s="7"/>
      <c r="D51" s="18">
        <v>15</v>
      </c>
      <c r="E51" s="7"/>
      <c r="F51" s="1471"/>
      <c r="G51" s="1476" t="s">
        <v>1503</v>
      </c>
      <c r="H51" s="1847">
        <f>100*VL_NbVelaGen/VL_NbVaches</f>
        <v>29.411764705882351</v>
      </c>
      <c r="I51" s="1471" t="s">
        <v>105</v>
      </c>
      <c r="J51" s="7"/>
      <c r="K51" s="2019" t="s">
        <v>2037</v>
      </c>
      <c r="L51" s="2083">
        <f>L50/SA_SFPc</f>
        <v>0.85803466666666661</v>
      </c>
      <c r="M51" s="7"/>
      <c r="N51" s="1"/>
      <c r="O51" s="1"/>
      <c r="P51" s="1799"/>
      <c r="Q51" s="1799"/>
      <c r="R51" s="1799"/>
      <c r="S51" s="1799"/>
      <c r="T51" s="1799"/>
      <c r="U51" s="1799"/>
      <c r="V51" s="1799"/>
      <c r="W51" s="1799"/>
      <c r="X51" s="1799"/>
      <c r="Y51" s="1799"/>
      <c r="Z51" s="1799"/>
      <c r="AA51" s="573"/>
      <c r="AE51" s="1561"/>
      <c r="AF51" s="1561"/>
      <c r="AG51" s="611"/>
      <c r="AH51" s="610"/>
      <c r="AI51" s="610"/>
      <c r="AJ51" s="610"/>
      <c r="AK51" s="610"/>
    </row>
    <row r="52" spans="1:58" ht="5.0999999999999996" customHeight="1" x14ac:dyDescent="0.2">
      <c r="A52" s="1245"/>
      <c r="B52" s="7"/>
      <c r="C52" s="7"/>
      <c r="D52" s="7"/>
      <c r="E52" s="1"/>
      <c r="F52" s="1"/>
      <c r="G52" s="1476"/>
      <c r="H52" s="1476"/>
      <c r="I52" s="1476"/>
      <c r="J52" s="1"/>
      <c r="K52" s="1"/>
      <c r="L52" s="1"/>
      <c r="M52" s="1245"/>
      <c r="N52" s="1"/>
      <c r="O52" s="1"/>
      <c r="P52" s="1799"/>
      <c r="Q52" s="1799"/>
      <c r="R52" s="1799"/>
      <c r="S52" s="1799"/>
      <c r="T52" s="1799"/>
      <c r="U52" s="1799"/>
      <c r="V52" s="1799"/>
      <c r="W52" s="1799"/>
      <c r="X52" s="1799"/>
      <c r="Y52" s="1799"/>
      <c r="Z52" s="1799"/>
      <c r="AA52" s="573"/>
      <c r="AE52" s="1561"/>
      <c r="AF52" s="1561"/>
      <c r="AG52" s="611"/>
      <c r="AH52" s="610"/>
      <c r="AI52" s="610"/>
      <c r="AJ52" s="610"/>
      <c r="AK52" s="610"/>
    </row>
    <row r="53" spans="1:58" ht="18.75" customHeight="1" x14ac:dyDescent="0.2">
      <c r="A53" s="1245"/>
      <c r="B53" s="3" t="s">
        <v>2315</v>
      </c>
      <c r="C53" s="1"/>
      <c r="D53" s="1"/>
      <c r="E53" s="1"/>
      <c r="F53" s="3024"/>
      <c r="G53" s="3024"/>
      <c r="H53" s="3024"/>
      <c r="I53" s="1"/>
      <c r="J53" s="1"/>
      <c r="K53" s="1"/>
      <c r="L53" s="595"/>
      <c r="M53" s="1245"/>
      <c r="N53" s="1"/>
      <c r="O53" s="1"/>
      <c r="P53" s="1799"/>
      <c r="Q53" s="1799"/>
      <c r="R53" s="1799"/>
      <c r="S53" s="1799"/>
      <c r="T53" s="1799"/>
      <c r="U53" s="1799"/>
      <c r="V53" s="1799"/>
      <c r="W53" s="1799"/>
      <c r="X53" s="1799"/>
      <c r="Y53" s="1799"/>
      <c r="Z53" s="1799"/>
      <c r="AA53" s="573"/>
    </row>
    <row r="54" spans="1:58" ht="18.75" customHeight="1" x14ac:dyDescent="0.2">
      <c r="A54" s="1245"/>
      <c r="B54" s="3"/>
      <c r="C54" s="1"/>
      <c r="D54" s="9" t="s">
        <v>327</v>
      </c>
      <c r="E54" s="1"/>
      <c r="F54" s="1580" t="s">
        <v>2030</v>
      </c>
      <c r="G54" s="10"/>
      <c r="H54" s="10"/>
      <c r="I54" s="10"/>
      <c r="J54" s="1253"/>
      <c r="K54" s="1"/>
      <c r="L54" s="1"/>
      <c r="M54" s="595" t="s">
        <v>1329</v>
      </c>
      <c r="N54" s="1"/>
      <c r="O54" s="1"/>
      <c r="P54" s="1799"/>
      <c r="Q54" s="1799"/>
      <c r="R54" s="1799"/>
      <c r="S54" s="1799"/>
      <c r="T54" s="1799"/>
      <c r="U54" s="1799"/>
      <c r="V54" s="1799"/>
      <c r="W54" s="1799"/>
      <c r="X54" s="1799"/>
      <c r="Y54" s="1799"/>
      <c r="Z54" s="1799"/>
      <c r="AA54" s="573"/>
      <c r="AK54" s="781"/>
      <c r="AL54" s="737"/>
      <c r="AM54" s="737"/>
      <c r="AN54" s="737"/>
      <c r="AO54" s="737"/>
      <c r="AP54" s="737"/>
      <c r="AQ54" s="774" t="s">
        <v>564</v>
      </c>
      <c r="AR54" s="774" t="s">
        <v>565</v>
      </c>
      <c r="AS54" s="773" t="s">
        <v>566</v>
      </c>
    </row>
    <row r="55" spans="1:58" ht="21.95" customHeight="1" x14ac:dyDescent="0.2">
      <c r="A55" s="1245"/>
      <c r="B55" s="1471" t="s">
        <v>1407</v>
      </c>
      <c r="C55" s="1"/>
      <c r="D55" s="18">
        <v>22</v>
      </c>
      <c r="E55" s="1253"/>
      <c r="F55" s="1"/>
      <c r="G55" s="1"/>
      <c r="H55" s="1"/>
      <c r="I55" s="1"/>
      <c r="J55" s="3020" t="s">
        <v>2267</v>
      </c>
      <c r="K55" s="3020"/>
      <c r="L55" s="3020"/>
      <c r="M55" s="1163">
        <f>TA_NbVaches*AL55</f>
        <v>17.600000000000001</v>
      </c>
      <c r="N55" s="1"/>
      <c r="O55" s="1"/>
      <c r="P55" s="1799"/>
      <c r="Q55" s="1799"/>
      <c r="R55" s="1799"/>
      <c r="S55" s="1799"/>
      <c r="T55" s="1799"/>
      <c r="U55" s="1799"/>
      <c r="V55" s="1799"/>
      <c r="W55" s="1799"/>
      <c r="X55" s="1799"/>
      <c r="Y55" s="1799"/>
      <c r="Z55" s="1799"/>
      <c r="AA55" s="746" t="str">
        <f>ADDRESS(ROW(F55),COLUMN(F55))</f>
        <v>$F$55</v>
      </c>
      <c r="AB55" s="745" t="s">
        <v>467</v>
      </c>
      <c r="AC55" s="742">
        <v>1</v>
      </c>
      <c r="AD55" s="748" t="s">
        <v>65</v>
      </c>
      <c r="AE55" s="743"/>
      <c r="AF55" s="743"/>
      <c r="AG55" s="743"/>
      <c r="AH55" s="743"/>
      <c r="AI55" s="744"/>
      <c r="AK55" s="752" t="str">
        <f>ADDRESS(ROW(M55),COLUMN(M55))</f>
        <v>$M$55</v>
      </c>
      <c r="AL55" s="768">
        <f>IF(TA_FormVach=1,AQ55,IF(TA_FormVach=2,AR55,IF(TA_FormVach=3,AS55,0)))</f>
        <v>0.8</v>
      </c>
      <c r="AM55" s="740" t="s">
        <v>928</v>
      </c>
      <c r="AN55" s="739"/>
      <c r="AO55" s="739"/>
      <c r="AP55" s="739"/>
      <c r="AQ55" s="764">
        <f>Paramètres!E22</f>
        <v>0.8</v>
      </c>
      <c r="AR55" s="764">
        <f>Paramètres!F22</f>
        <v>0.85</v>
      </c>
      <c r="AS55" s="765">
        <f>Paramètres!G22</f>
        <v>0.9</v>
      </c>
      <c r="AZ55" s="2984" t="s">
        <v>541</v>
      </c>
      <c r="BA55" s="2984"/>
      <c r="BB55" s="2984"/>
      <c r="BD55" s="2984" t="s">
        <v>1402</v>
      </c>
      <c r="BE55" s="2984"/>
      <c r="BF55" s="2984"/>
    </row>
    <row r="56" spans="1:58" ht="21.95" customHeight="1" x14ac:dyDescent="0.2">
      <c r="A56" s="1245"/>
      <c r="B56" s="2114" t="s">
        <v>2236</v>
      </c>
      <c r="C56" s="1"/>
      <c r="D56" s="18">
        <v>10</v>
      </c>
      <c r="E56" s="1"/>
      <c r="F56" s="1"/>
      <c r="G56" s="1253" t="s">
        <v>1239</v>
      </c>
      <c r="H56" s="1"/>
      <c r="I56" s="1560"/>
      <c r="J56" s="3020"/>
      <c r="K56" s="3020"/>
      <c r="L56" s="3020"/>
      <c r="M56" s="1"/>
      <c r="N56" s="1"/>
      <c r="O56" s="1"/>
      <c r="P56" s="1799"/>
      <c r="Q56" s="1799"/>
      <c r="R56" s="1799"/>
      <c r="S56" s="1801"/>
      <c r="T56" s="1799"/>
      <c r="U56" s="1799"/>
      <c r="V56" s="1799"/>
      <c r="W56" s="1799"/>
      <c r="X56" s="1799"/>
      <c r="Y56" s="1799"/>
      <c r="Z56" s="1799"/>
      <c r="AS56" s="737"/>
      <c r="AZ56" s="1567" t="s">
        <v>244</v>
      </c>
      <c r="BA56" s="1662" t="s">
        <v>1320</v>
      </c>
      <c r="BB56" s="1662" t="s">
        <v>123</v>
      </c>
      <c r="BD56" s="1567" t="s">
        <v>244</v>
      </c>
      <c r="BE56" s="1662" t="s">
        <v>1320</v>
      </c>
      <c r="BF56" s="1662" t="s">
        <v>123</v>
      </c>
    </row>
    <row r="57" spans="1:58" ht="21.95" customHeight="1" x14ac:dyDescent="0.2">
      <c r="A57" s="1245"/>
      <c r="B57" s="4"/>
      <c r="C57" s="2141" t="s">
        <v>1362</v>
      </c>
      <c r="D57" s="1162">
        <v>4</v>
      </c>
      <c r="E57" s="1"/>
      <c r="F57" s="1"/>
      <c r="G57" s="1162">
        <v>210</v>
      </c>
      <c r="H57" s="1253" t="s">
        <v>1237</v>
      </c>
      <c r="I57" s="2129"/>
      <c r="J57" s="3020"/>
      <c r="K57" s="3020"/>
      <c r="L57" s="3020"/>
      <c r="M57" s="5"/>
      <c r="N57" s="1478"/>
      <c r="O57" s="1253"/>
      <c r="P57" s="1799"/>
      <c r="Q57" s="1799"/>
      <c r="R57" s="1799"/>
      <c r="S57" s="1799"/>
      <c r="T57" s="1799"/>
      <c r="U57" s="1799"/>
      <c r="V57" s="1799"/>
      <c r="W57" s="1799"/>
      <c r="X57" s="1799"/>
      <c r="Y57" s="1799"/>
      <c r="Z57" s="1799"/>
      <c r="AA57" s="573"/>
      <c r="AD57" s="573"/>
      <c r="AL57" s="763"/>
      <c r="AY57" s="1567" t="s">
        <v>1388</v>
      </c>
      <c r="AZ57" s="1568">
        <f>BB57</f>
        <v>840</v>
      </c>
      <c r="BB57" s="1568">
        <f>TA_PdsVd*TA_NbGenAn1Vd</f>
        <v>840</v>
      </c>
      <c r="BD57" s="1568">
        <f>BF57</f>
        <v>714</v>
      </c>
      <c r="BF57" s="1568">
        <f>0.85*BB57</f>
        <v>714</v>
      </c>
    </row>
    <row r="58" spans="1:58" ht="21.95" customHeight="1" x14ac:dyDescent="0.2">
      <c r="A58" s="1245"/>
      <c r="B58" s="1617" t="s">
        <v>2237</v>
      </c>
      <c r="C58" s="1617"/>
      <c r="D58" s="1162"/>
      <c r="E58" s="1"/>
      <c r="F58" s="1"/>
      <c r="G58" s="1162"/>
      <c r="H58" s="1253" t="s">
        <v>1237</v>
      </c>
      <c r="I58" s="2129"/>
      <c r="J58" s="3020"/>
      <c r="K58" s="3020"/>
      <c r="L58" s="3020"/>
      <c r="M58" s="1163">
        <f>AL59*(TA_NbGenAn1-0.25*TA_NbGenAn1Vd+0.25*TA_NbGenAn1Ach)</f>
        <v>3.15</v>
      </c>
      <c r="N58" s="1478"/>
      <c r="O58" s="1253"/>
      <c r="P58" s="1799"/>
      <c r="Q58" s="1799"/>
      <c r="R58" s="1799"/>
      <c r="S58" s="1799"/>
      <c r="T58" s="1799"/>
      <c r="U58" s="1799"/>
      <c r="V58" s="1799"/>
      <c r="W58" s="1799"/>
      <c r="X58" s="1799"/>
      <c r="Y58" s="1799"/>
      <c r="Z58" s="1799"/>
      <c r="AA58" s="573"/>
      <c r="AD58" s="573"/>
      <c r="AL58" s="1608"/>
      <c r="AS58" s="739"/>
      <c r="AT58" s="740"/>
      <c r="AU58" s="775" t="s">
        <v>567</v>
      </c>
      <c r="AV58" s="750" t="s">
        <v>568</v>
      </c>
      <c r="AW58" s="776" t="s">
        <v>569</v>
      </c>
    </row>
    <row r="59" spans="1:58" ht="18.75" customHeight="1" x14ac:dyDescent="0.2">
      <c r="A59" s="1245"/>
      <c r="B59" s="4"/>
      <c r="C59" s="1"/>
      <c r="D59" s="9"/>
      <c r="E59" s="1"/>
      <c r="F59" s="1"/>
      <c r="G59" s="1"/>
      <c r="H59" s="1"/>
      <c r="I59" s="2131"/>
      <c r="J59" s="2130"/>
      <c r="K59" s="1"/>
      <c r="L59" s="1"/>
      <c r="M59" s="1"/>
      <c r="N59" s="1"/>
      <c r="O59" s="1"/>
      <c r="P59" s="1799"/>
      <c r="Q59" s="1799"/>
      <c r="R59" s="1799"/>
      <c r="S59" s="1799"/>
      <c r="T59" s="1799"/>
      <c r="U59" s="1799"/>
      <c r="V59" s="1799"/>
      <c r="W59" s="1799"/>
      <c r="X59" s="1799"/>
      <c r="Y59" s="1799"/>
      <c r="Z59" s="1799"/>
      <c r="AA59" s="573"/>
      <c r="AD59" s="573"/>
      <c r="AK59" s="747" t="str">
        <f>ADDRESS(ROW(M58),COLUMN(M58))</f>
        <v>$M$58</v>
      </c>
      <c r="AL59" s="778">
        <f>IF(TA_FormGen=1,AU59,IF(TA_FormGen=2,AV59,IF(TA_FormGen=3,AW59,0)))</f>
        <v>0.35</v>
      </c>
      <c r="AM59" s="738" t="s">
        <v>929</v>
      </c>
      <c r="AN59" s="737"/>
      <c r="AO59" s="737"/>
      <c r="AP59" s="737"/>
      <c r="AQ59" s="737"/>
      <c r="AR59" s="737"/>
      <c r="AS59" s="737"/>
      <c r="AT59" s="737"/>
      <c r="AU59" s="766">
        <f>Paramètres!E26</f>
        <v>0.35</v>
      </c>
      <c r="AV59" s="766">
        <f>Paramètres!F26</f>
        <v>0.4</v>
      </c>
      <c r="AW59" s="767">
        <f>Paramètres!G26</f>
        <v>0.4</v>
      </c>
    </row>
    <row r="60" spans="1:58" ht="18.75" customHeight="1" x14ac:dyDescent="0.2">
      <c r="A60" s="1245"/>
      <c r="B60" s="7" t="s">
        <v>411</v>
      </c>
      <c r="C60" s="1"/>
      <c r="D60" s="18">
        <v>6</v>
      </c>
      <c r="E60" s="1"/>
      <c r="F60" s="1580" t="s">
        <v>2031</v>
      </c>
      <c r="G60" s="10"/>
      <c r="H60" s="10"/>
      <c r="I60" s="10"/>
      <c r="J60" s="567"/>
      <c r="K60" s="1"/>
      <c r="L60" s="1"/>
      <c r="M60" s="1163">
        <f>TA_NbGenAn2*AL60</f>
        <v>3.3000000000000003</v>
      </c>
      <c r="N60" s="1"/>
      <c r="O60" s="1"/>
      <c r="P60" s="1799"/>
      <c r="Q60" s="1799"/>
      <c r="R60" s="1799"/>
      <c r="S60" s="1799"/>
      <c r="T60" s="1799"/>
      <c r="U60" s="1799"/>
      <c r="V60" s="1799"/>
      <c r="W60" s="1799"/>
      <c r="X60" s="1799"/>
      <c r="Y60" s="1799"/>
      <c r="Z60" s="1799"/>
      <c r="AA60" s="573"/>
      <c r="AD60" s="573"/>
      <c r="AK60" s="752" t="str">
        <f>ADDRESS(ROW(M60),COLUMN(M60))</f>
        <v>$M$60</v>
      </c>
      <c r="AL60" s="768">
        <f>IF(TA_FormGen=1,AU60,IF(TA_FormGen=2,AV60,IF(TA_FormGen=3,AW60,0)))</f>
        <v>0.55000000000000004</v>
      </c>
      <c r="AM60" s="740" t="s">
        <v>930</v>
      </c>
      <c r="AN60" s="739"/>
      <c r="AO60" s="739"/>
      <c r="AP60" s="739"/>
      <c r="AQ60" s="739"/>
      <c r="AR60" s="739"/>
      <c r="AS60" s="739"/>
      <c r="AT60" s="739"/>
      <c r="AU60" s="764">
        <f>Paramètres!E27</f>
        <v>0.55000000000000004</v>
      </c>
      <c r="AV60" s="764">
        <f>Paramètres!F27</f>
        <v>0.6</v>
      </c>
      <c r="AW60" s="765">
        <f>Paramètres!G27</f>
        <v>0.6</v>
      </c>
    </row>
    <row r="61" spans="1:58" ht="3" customHeight="1" x14ac:dyDescent="0.2">
      <c r="A61" s="1245"/>
      <c r="B61" s="7"/>
      <c r="C61" s="1"/>
      <c r="D61" s="9"/>
      <c r="E61" s="1"/>
      <c r="F61" s="1"/>
      <c r="G61" s="1"/>
      <c r="H61" s="1"/>
      <c r="I61" s="1"/>
      <c r="J61" s="567"/>
      <c r="K61" s="1"/>
      <c r="L61" s="1"/>
      <c r="M61" s="5"/>
      <c r="N61" s="1"/>
      <c r="O61" s="1"/>
      <c r="P61" s="1799"/>
      <c r="Q61" s="1799"/>
      <c r="R61" s="1799"/>
      <c r="S61" s="1799"/>
      <c r="T61" s="1799"/>
      <c r="U61" s="1799"/>
      <c r="V61" s="1799"/>
      <c r="W61" s="1799"/>
      <c r="X61" s="1799"/>
      <c r="Y61" s="1799"/>
      <c r="Z61" s="1799"/>
      <c r="AA61" s="573"/>
      <c r="AD61" s="573"/>
      <c r="AL61" s="792"/>
      <c r="AT61" s="609"/>
      <c r="AU61" s="609"/>
      <c r="AV61" s="609"/>
      <c r="AW61" s="610"/>
      <c r="AX61" s="610"/>
      <c r="AY61" s="610"/>
    </row>
    <row r="62" spans="1:58" ht="18.75" customHeight="1" x14ac:dyDescent="0.2">
      <c r="A62" s="1245"/>
      <c r="B62" s="7" t="s">
        <v>412</v>
      </c>
      <c r="C62" s="1"/>
      <c r="D62" s="18">
        <v>6</v>
      </c>
      <c r="E62" s="1"/>
      <c r="F62" s="1"/>
      <c r="G62" s="1"/>
      <c r="H62" s="1"/>
      <c r="I62" s="1"/>
      <c r="J62" s="1245"/>
      <c r="K62" s="1"/>
      <c r="L62" s="1"/>
      <c r="M62" s="1163">
        <f>TA_NbGenAn3*AL62</f>
        <v>4.1999999999999993</v>
      </c>
      <c r="N62" s="1"/>
      <c r="O62" s="1"/>
      <c r="P62" s="1799"/>
      <c r="Q62" s="1799"/>
      <c r="R62" s="1799"/>
      <c r="S62" s="1799"/>
      <c r="T62" s="1799"/>
      <c r="U62" s="1799"/>
      <c r="V62" s="1799"/>
      <c r="W62" s="1799"/>
      <c r="X62" s="1799"/>
      <c r="Y62" s="1799"/>
      <c r="Z62" s="1799"/>
      <c r="AA62" s="746" t="str">
        <f>ADDRESS(ROW(F62),COLUMN(F62))</f>
        <v>$F$62</v>
      </c>
      <c r="AB62" s="745" t="s">
        <v>468</v>
      </c>
      <c r="AC62" s="742">
        <v>1</v>
      </c>
      <c r="AD62" s="748" t="s">
        <v>294</v>
      </c>
      <c r="AE62" s="743"/>
      <c r="AF62" s="743"/>
      <c r="AG62" s="743"/>
      <c r="AH62" s="743"/>
      <c r="AI62" s="744"/>
      <c r="AK62" s="747" t="str">
        <f>ADDRESS(ROW(M62),COLUMN(M62))</f>
        <v>$M$62</v>
      </c>
      <c r="AL62" s="778">
        <f>IF(TA_TypeVela=1,AR62,IF(TA_TypeVela=2,AU62,0))</f>
        <v>0.7</v>
      </c>
      <c r="AM62" s="738" t="s">
        <v>931</v>
      </c>
      <c r="AN62" s="737"/>
      <c r="AO62" s="737"/>
      <c r="AP62" s="737"/>
      <c r="AQ62" s="749" t="s">
        <v>570</v>
      </c>
      <c r="AR62" s="778">
        <f>IF(TA_FormGen=1,AQ64,IF(TA_FormGen=2,AR64,IF(TA_FormGen=3,AS64,0)))</f>
        <v>0.35</v>
      </c>
      <c r="AS62" s="603"/>
      <c r="AT62" s="786" t="s">
        <v>571</v>
      </c>
      <c r="AU62" s="778">
        <f>IF(TA_FormGen=1,AT64,IF(TA_FormGen=2,AU64,IF(TA_FormGen=3,AV64,0)))</f>
        <v>0.7</v>
      </c>
      <c r="AV62" s="738"/>
      <c r="AZ62" s="2984" t="s">
        <v>541</v>
      </c>
      <c r="BA62" s="2984"/>
      <c r="BB62" s="2984"/>
      <c r="BD62" s="2984" t="s">
        <v>1402</v>
      </c>
      <c r="BE62" s="2984"/>
      <c r="BF62" s="2984"/>
    </row>
    <row r="63" spans="1:58" ht="18.75" customHeight="1" x14ac:dyDescent="0.2">
      <c r="A63" s="1245"/>
      <c r="B63" s="1"/>
      <c r="C63" s="1"/>
      <c r="D63" s="1"/>
      <c r="E63" s="1"/>
      <c r="F63" s="1" t="s">
        <v>171</v>
      </c>
      <c r="G63" s="1"/>
      <c r="H63" s="1"/>
      <c r="I63" s="1"/>
      <c r="J63" s="1245"/>
      <c r="K63" s="1"/>
      <c r="L63" s="5"/>
      <c r="M63" s="1"/>
      <c r="N63" s="1"/>
      <c r="O63" s="1"/>
      <c r="P63" s="1799"/>
      <c r="Q63" s="1799"/>
      <c r="R63" s="1799"/>
      <c r="S63" s="1799"/>
      <c r="T63" s="1799"/>
      <c r="U63" s="1799"/>
      <c r="V63" s="1799"/>
      <c r="W63" s="1799"/>
      <c r="X63" s="1799"/>
      <c r="Y63" s="1799"/>
      <c r="Z63" s="1799"/>
      <c r="AA63" s="746" t="str">
        <f>ADDRESS(ROW(F63),COLUMN(F63))</f>
        <v>$F$63</v>
      </c>
      <c r="AB63" s="745" t="s">
        <v>469</v>
      </c>
      <c r="AC63" s="742">
        <v>2</v>
      </c>
      <c r="AD63" s="748" t="s">
        <v>336</v>
      </c>
      <c r="AE63" s="743"/>
      <c r="AF63" s="743"/>
      <c r="AG63" s="743"/>
      <c r="AH63" s="743"/>
      <c r="AI63" s="744"/>
      <c r="AK63" s="784"/>
      <c r="AL63" s="793"/>
      <c r="AM63" s="610"/>
      <c r="AN63" s="610"/>
      <c r="AO63" s="610"/>
      <c r="AP63" s="610"/>
      <c r="AQ63" s="779" t="s">
        <v>567</v>
      </c>
      <c r="AR63" s="779" t="s">
        <v>568</v>
      </c>
      <c r="AS63" s="779" t="s">
        <v>569</v>
      </c>
      <c r="AT63" s="787" t="s">
        <v>567</v>
      </c>
      <c r="AU63" s="779" t="s">
        <v>568</v>
      </c>
      <c r="AV63" s="780" t="s">
        <v>569</v>
      </c>
      <c r="AZ63" s="1567" t="s">
        <v>244</v>
      </c>
      <c r="BA63" s="1662" t="s">
        <v>1320</v>
      </c>
      <c r="BB63" s="1662" t="s">
        <v>123</v>
      </c>
      <c r="BD63" s="1567" t="s">
        <v>244</v>
      </c>
      <c r="BE63" s="1662" t="s">
        <v>1320</v>
      </c>
      <c r="BF63" s="1662" t="s">
        <v>123</v>
      </c>
    </row>
    <row r="64" spans="1:58" ht="18.75" customHeight="1" x14ac:dyDescent="0.2">
      <c r="A64" s="1245"/>
      <c r="B64" s="1"/>
      <c r="C64" s="1"/>
      <c r="D64" s="1"/>
      <c r="E64" s="1"/>
      <c r="F64" s="1"/>
      <c r="G64" s="1476" t="s">
        <v>1238</v>
      </c>
      <c r="H64" s="19">
        <v>680</v>
      </c>
      <c r="I64" s="1253" t="s">
        <v>1237</v>
      </c>
      <c r="J64" s="1"/>
      <c r="K64" s="1"/>
      <c r="L64" s="1618" t="s">
        <v>1339</v>
      </c>
      <c r="M64" s="1619">
        <f>SUM(M55:M62)</f>
        <v>28.25</v>
      </c>
      <c r="N64" s="1"/>
      <c r="O64" s="1"/>
      <c r="P64" s="1799"/>
      <c r="Q64" s="1799"/>
      <c r="R64" s="1799"/>
      <c r="S64" s="1799"/>
      <c r="T64" s="1799"/>
      <c r="U64" s="1799"/>
      <c r="V64" s="1799"/>
      <c r="W64" s="1799"/>
      <c r="X64" s="1799"/>
      <c r="Y64" s="1799"/>
      <c r="Z64" s="1799"/>
      <c r="AA64" s="573"/>
      <c r="AD64" s="573"/>
      <c r="AK64" s="785"/>
      <c r="AL64" s="794"/>
      <c r="AM64" s="739"/>
      <c r="AN64" s="739"/>
      <c r="AO64" s="739"/>
      <c r="AP64" s="739"/>
      <c r="AQ64" s="764">
        <f>Paramètres!E33</f>
        <v>0.35</v>
      </c>
      <c r="AR64" s="764">
        <f>Paramètres!F33</f>
        <v>0.375</v>
      </c>
      <c r="AS64" s="764">
        <f>Paramètres!G33</f>
        <v>0.4</v>
      </c>
      <c r="AT64" s="788">
        <f>Paramètres!E37</f>
        <v>0.7</v>
      </c>
      <c r="AU64" s="764">
        <f>Paramètres!F37</f>
        <v>0.75</v>
      </c>
      <c r="AV64" s="765">
        <f>Paramètres!G37</f>
        <v>0.8</v>
      </c>
      <c r="AY64" s="1567" t="s">
        <v>1389</v>
      </c>
      <c r="AZ64" s="1568">
        <f>BB64</f>
        <v>4080</v>
      </c>
      <c r="BB64" s="1568">
        <f>TA_PdsGeVel*TA_NbGenAn3</f>
        <v>4080</v>
      </c>
      <c r="BD64" s="1568">
        <f>BF64</f>
        <v>3753.6000000000004</v>
      </c>
      <c r="BF64" s="1568">
        <f>0.92*BB64</f>
        <v>3753.6000000000004</v>
      </c>
    </row>
    <row r="65" spans="1:62" ht="18.75" customHeight="1" x14ac:dyDescent="0.2">
      <c r="A65" s="1245"/>
      <c r="B65" s="1471" t="s">
        <v>1502</v>
      </c>
      <c r="C65" s="7"/>
      <c r="D65" s="18">
        <v>6</v>
      </c>
      <c r="E65" s="7"/>
      <c r="F65" s="1471"/>
      <c r="G65" s="1476" t="s">
        <v>1503</v>
      </c>
      <c r="H65" s="1847">
        <f>100*TA_NbVelaGen/TA_NbVaches</f>
        <v>27.272727272727273</v>
      </c>
      <c r="I65" s="1471" t="s">
        <v>105</v>
      </c>
      <c r="J65" s="1"/>
      <c r="K65" s="1"/>
      <c r="L65" s="2019" t="s">
        <v>2038</v>
      </c>
      <c r="M65" s="2083">
        <f>M64/SA_SFPc</f>
        <v>0.31388888888888888</v>
      </c>
      <c r="N65" s="1"/>
      <c r="O65" s="1"/>
      <c r="P65" s="1799"/>
      <c r="Q65" s="1799"/>
      <c r="R65" s="1799"/>
      <c r="S65" s="1799"/>
      <c r="T65" s="1799"/>
      <c r="U65" s="1799"/>
      <c r="V65" s="1799"/>
      <c r="W65" s="1799"/>
      <c r="X65" s="1799"/>
      <c r="Y65" s="1799"/>
      <c r="Z65" s="1799"/>
      <c r="AA65" s="573"/>
      <c r="AD65" s="573"/>
    </row>
    <row r="66" spans="1:62" ht="5.0999999999999996" customHeight="1" x14ac:dyDescent="0.2">
      <c r="A66" s="1245"/>
      <c r="B66" s="1"/>
      <c r="C66" s="1"/>
      <c r="D66" s="1"/>
      <c r="E66" s="1"/>
      <c r="F66" s="1"/>
      <c r="G66" s="1"/>
      <c r="H66" s="1"/>
      <c r="I66" s="1"/>
      <c r="J66" s="1"/>
      <c r="K66" s="1"/>
      <c r="L66" s="1557"/>
      <c r="M66" s="1"/>
      <c r="N66" s="1"/>
      <c r="O66" s="1"/>
      <c r="P66" s="1799"/>
      <c r="Q66" s="1799"/>
      <c r="R66" s="1799"/>
      <c r="S66" s="1799"/>
      <c r="T66" s="1799"/>
      <c r="U66" s="1799"/>
      <c r="V66" s="1799"/>
      <c r="W66" s="1799"/>
      <c r="X66" s="1799"/>
      <c r="Y66" s="1799"/>
      <c r="Z66" s="1799"/>
      <c r="AA66" s="573"/>
      <c r="AD66" s="573"/>
      <c r="AK66" s="784"/>
      <c r="AL66" s="793"/>
      <c r="AM66" s="610"/>
      <c r="AN66" s="610"/>
      <c r="AO66" s="610"/>
      <c r="AP66" s="610"/>
      <c r="AQ66" s="610"/>
      <c r="AR66" s="610"/>
      <c r="AS66" s="610"/>
      <c r="AT66" s="610"/>
      <c r="AU66" s="610"/>
      <c r="AV66" s="610"/>
      <c r="BB66" s="1558"/>
      <c r="BF66" s="1686"/>
    </row>
    <row r="67" spans="1:62" ht="18.75" customHeight="1" x14ac:dyDescent="0.2">
      <c r="A67" s="1245"/>
      <c r="B67" s="3" t="s">
        <v>1268</v>
      </c>
      <c r="C67" s="1"/>
      <c r="D67" s="1"/>
      <c r="E67" s="1"/>
      <c r="F67" s="1"/>
      <c r="G67" s="1"/>
      <c r="H67" s="1"/>
      <c r="I67" s="1"/>
      <c r="J67" s="1"/>
      <c r="K67" s="1"/>
      <c r="L67" s="589"/>
      <c r="M67" s="589"/>
      <c r="N67" s="589"/>
      <c r="O67" s="1"/>
      <c r="P67" s="1799"/>
      <c r="Q67" s="1799"/>
      <c r="R67" s="1799"/>
      <c r="S67" s="1799"/>
      <c r="T67" s="1799"/>
      <c r="U67" s="1799"/>
      <c r="V67" s="1799"/>
      <c r="W67" s="1799"/>
      <c r="X67" s="1799"/>
      <c r="Y67" s="1799"/>
      <c r="Z67" s="1799"/>
      <c r="AA67" s="573"/>
      <c r="AD67" s="573"/>
      <c r="AK67" s="784"/>
      <c r="AL67" s="793"/>
      <c r="AM67" s="610"/>
      <c r="AN67" s="610"/>
      <c r="AO67" s="610"/>
      <c r="AP67" s="610"/>
      <c r="AQ67" s="610"/>
      <c r="AR67" s="610"/>
      <c r="AS67" s="610"/>
      <c r="AT67" s="610"/>
      <c r="AU67" s="610"/>
      <c r="AV67" s="610"/>
      <c r="AW67" s="610"/>
      <c r="AX67" s="610"/>
      <c r="AZ67" s="1925" t="s">
        <v>541</v>
      </c>
      <c r="BB67" s="1558"/>
      <c r="BF67" s="1686"/>
    </row>
    <row r="68" spans="1:62" ht="18.75" customHeight="1" x14ac:dyDescent="0.2">
      <c r="A68" s="1245"/>
      <c r="B68" s="2109" t="s">
        <v>2268</v>
      </c>
      <c r="C68" s="1"/>
      <c r="D68" s="1"/>
      <c r="E68" s="18">
        <v>40</v>
      </c>
      <c r="F68" s="1"/>
      <c r="G68" s="1476" t="s">
        <v>2228</v>
      </c>
      <c r="H68" s="18">
        <v>47</v>
      </c>
      <c r="I68" s="1"/>
      <c r="J68" s="1"/>
      <c r="K68" s="1"/>
      <c r="L68" s="2110"/>
      <c r="M68" s="2110"/>
      <c r="N68" s="2110"/>
      <c r="O68" s="1"/>
      <c r="P68" s="1799"/>
      <c r="Q68" s="1799"/>
      <c r="R68" s="1799"/>
      <c r="S68" s="1799"/>
      <c r="T68" s="1799"/>
      <c r="U68" s="1799"/>
      <c r="V68" s="1799"/>
      <c r="W68" s="1799"/>
      <c r="X68" s="1799"/>
      <c r="Y68" s="1799"/>
      <c r="Z68" s="1799"/>
      <c r="AA68" s="573"/>
      <c r="AD68" s="573"/>
      <c r="AK68" s="784"/>
      <c r="AL68" s="793"/>
      <c r="AM68" s="610"/>
      <c r="AN68" s="610"/>
      <c r="AO68" s="610"/>
      <c r="AP68" s="610"/>
      <c r="AQ68" s="610"/>
      <c r="AR68" s="610"/>
      <c r="AS68" s="610"/>
      <c r="AT68" s="610"/>
      <c r="AU68" s="610"/>
      <c r="AV68" s="610"/>
      <c r="AW68" s="610"/>
      <c r="AX68" s="610"/>
      <c r="AY68" s="1567" t="s">
        <v>2227</v>
      </c>
      <c r="BA68" s="1568">
        <f>EN_NbVeauVd15j*EN_PdsVeauVd15j</f>
        <v>1880</v>
      </c>
      <c r="BB68" s="1686"/>
      <c r="BF68" s="1686"/>
    </row>
    <row r="69" spans="1:62" ht="18.75" customHeight="1" x14ac:dyDescent="0.2">
      <c r="A69" s="1245"/>
      <c r="B69" s="7" t="s">
        <v>409</v>
      </c>
      <c r="C69" s="1"/>
      <c r="D69" s="1478"/>
      <c r="E69" s="1587"/>
      <c r="F69" s="1580"/>
      <c r="G69" s="1580"/>
      <c r="H69" s="1580"/>
      <c r="I69" s="1580"/>
      <c r="J69" s="1580"/>
      <c r="K69" s="1"/>
      <c r="L69" s="1620"/>
      <c r="M69" s="1620"/>
      <c r="N69" s="1620"/>
      <c r="O69" s="1"/>
      <c r="P69" s="1799"/>
      <c r="Q69" s="1799"/>
      <c r="R69" s="1799"/>
      <c r="S69" s="1799"/>
      <c r="T69" s="1799"/>
      <c r="U69" s="1799"/>
      <c r="V69" s="1799"/>
      <c r="W69" s="1799"/>
      <c r="X69" s="1799"/>
      <c r="Y69" s="1799"/>
      <c r="Z69" s="1799"/>
      <c r="AA69" s="573"/>
      <c r="AD69" s="573"/>
      <c r="AK69" s="784"/>
      <c r="AL69" s="793"/>
      <c r="AM69" s="610"/>
      <c r="AN69" s="610"/>
      <c r="AO69" s="610"/>
      <c r="AP69" s="610"/>
      <c r="AQ69"/>
      <c r="AR69"/>
      <c r="AS69"/>
      <c r="AT69"/>
      <c r="AU69"/>
      <c r="AV69"/>
      <c r="AW69"/>
      <c r="AX69"/>
      <c r="AY69"/>
      <c r="AZ69"/>
      <c r="BA69"/>
      <c r="BB69" s="605"/>
      <c r="BD69"/>
      <c r="BE69"/>
      <c r="BF69" s="1686"/>
    </row>
    <row r="70" spans="1:62" ht="18.75" customHeight="1" x14ac:dyDescent="0.2">
      <c r="A70" s="1245"/>
      <c r="B70" s="7"/>
      <c r="C70" s="1"/>
      <c r="D70" s="1582" t="s">
        <v>2032</v>
      </c>
      <c r="E70" s="1"/>
      <c r="F70" s="1"/>
      <c r="G70" s="1"/>
      <c r="H70" s="1"/>
      <c r="I70" s="1580" t="s">
        <v>1437</v>
      </c>
      <c r="J70" s="1253"/>
      <c r="K70" s="1"/>
      <c r="L70" s="3023" t="s">
        <v>504</v>
      </c>
      <c r="M70" s="3023"/>
      <c r="N70" s="3023"/>
      <c r="O70" s="1"/>
      <c r="P70" s="1799"/>
      <c r="Q70" s="1799"/>
      <c r="R70" s="1799"/>
      <c r="S70" s="1799"/>
      <c r="T70" s="1799"/>
      <c r="U70" s="1799"/>
      <c r="V70" s="1799"/>
      <c r="W70" s="1799"/>
      <c r="X70" s="1799"/>
      <c r="Y70" s="1799"/>
      <c r="Z70" s="1799"/>
      <c r="AA70" s="746" t="str">
        <f>ADDRESS(ROW(E70),COLUMN(E70))</f>
        <v>$E$70</v>
      </c>
      <c r="AB70" s="745" t="s">
        <v>470</v>
      </c>
      <c r="AC70" s="742">
        <v>1</v>
      </c>
      <c r="AD70" s="748" t="s">
        <v>299</v>
      </c>
      <c r="AE70" s="743"/>
      <c r="AF70" s="743"/>
      <c r="AG70" s="743"/>
      <c r="AH70" s="743"/>
      <c r="AI70" s="744"/>
      <c r="AK70" s="784"/>
      <c r="AL70" s="793"/>
      <c r="AM70" s="610"/>
      <c r="AN70" s="610"/>
      <c r="AO70" s="610"/>
      <c r="AP70" s="610"/>
      <c r="AQ70"/>
      <c r="AR70"/>
      <c r="AS70"/>
      <c r="AT70"/>
      <c r="AU70"/>
      <c r="AV70"/>
      <c r="AW70"/>
      <c r="AX70"/>
      <c r="AY70"/>
      <c r="AZ70"/>
      <c r="BA70"/>
      <c r="BB70" s="1563"/>
      <c r="BD70"/>
      <c r="BE70"/>
      <c r="BF70" s="1686"/>
    </row>
    <row r="71" spans="1:62" ht="18.75" customHeight="1" x14ac:dyDescent="0.2">
      <c r="A71" s="1245"/>
      <c r="B71" s="7"/>
      <c r="C71" s="1431" t="s">
        <v>1337</v>
      </c>
      <c r="D71" s="1570" t="s">
        <v>1320</v>
      </c>
      <c r="E71" s="1616" t="s">
        <v>123</v>
      </c>
      <c r="F71" s="1570" t="s">
        <v>244</v>
      </c>
      <c r="G71" s="1"/>
      <c r="H71" s="1"/>
      <c r="I71" s="1"/>
      <c r="J71" s="1245"/>
      <c r="K71" s="1"/>
      <c r="L71" s="1476" t="s">
        <v>1320</v>
      </c>
      <c r="M71" s="1633" t="s">
        <v>123</v>
      </c>
      <c r="N71" s="1476" t="s">
        <v>244</v>
      </c>
      <c r="O71" s="1476"/>
      <c r="P71" s="1799"/>
      <c r="Q71" s="2112"/>
      <c r="R71" s="1799"/>
      <c r="S71" s="1799"/>
      <c r="T71" s="1799"/>
      <c r="U71" s="1799"/>
      <c r="V71" s="1799"/>
      <c r="W71" s="1799"/>
      <c r="X71" s="1799"/>
      <c r="Y71" s="1799"/>
      <c r="Z71" s="1799"/>
      <c r="AA71" s="573"/>
      <c r="AD71" s="573"/>
      <c r="AK71" s="781"/>
      <c r="AL71" s="798"/>
      <c r="AM71" s="737"/>
      <c r="AN71" s="737"/>
      <c r="AO71" s="737"/>
      <c r="AP71" s="737"/>
      <c r="AQ71" s="749" t="s">
        <v>572</v>
      </c>
      <c r="AR71" s="749" t="s">
        <v>573</v>
      </c>
      <c r="AS71" s="796" t="s">
        <v>574</v>
      </c>
      <c r="AT71"/>
      <c r="AU71"/>
      <c r="AV71"/>
      <c r="AW71"/>
      <c r="AX71"/>
      <c r="AY71"/>
      <c r="AZ71"/>
      <c r="BA71"/>
      <c r="BB71" s="1563"/>
      <c r="BD71"/>
      <c r="BE71"/>
      <c r="BF71" s="1686"/>
    </row>
    <row r="72" spans="1:62" ht="30.75" customHeight="1" x14ac:dyDescent="0.2">
      <c r="A72" s="1245"/>
      <c r="B72" s="2981" t="s">
        <v>2238</v>
      </c>
      <c r="C72" s="2983"/>
      <c r="D72" s="18"/>
      <c r="E72" s="18">
        <v>11</v>
      </c>
      <c r="F72" s="1383">
        <f>D72+E72</f>
        <v>11</v>
      </c>
      <c r="G72" s="1"/>
      <c r="H72" s="1624"/>
      <c r="I72" s="1"/>
      <c r="J72" s="1245"/>
      <c r="K72" s="1245"/>
      <c r="L72" s="1163">
        <f>EN_NbMalAn1L*AR72</f>
        <v>0</v>
      </c>
      <c r="M72" s="1163">
        <f>AL72*(EN_NbMalAn1A-0.25*EN_NbMalAn1Vd)</f>
        <v>3.4000000000000004</v>
      </c>
      <c r="N72" s="1163">
        <f>L72+M72</f>
        <v>3.4000000000000004</v>
      </c>
      <c r="O72" s="1476"/>
      <c r="P72" s="1799"/>
      <c r="Q72" s="2112"/>
      <c r="R72" s="1799"/>
      <c r="S72" s="1799"/>
      <c r="T72" s="1799"/>
      <c r="U72" s="1799"/>
      <c r="V72" s="1799"/>
      <c r="W72" s="1799"/>
      <c r="X72" s="1799"/>
      <c r="Y72" s="1799"/>
      <c r="Z72" s="1799"/>
      <c r="AA72" s="573"/>
      <c r="AD72" s="573"/>
      <c r="AK72" s="751" t="str">
        <f>ADDRESS(ROW(N72),COLUMN(N72))</f>
        <v>$N$72</v>
      </c>
      <c r="AL72" s="795">
        <f>IF(EN_FormMal=1,AQ72,IF(EN_FormMal=2,AR72,IF(EN_FormMal=3,AS72,0)))</f>
        <v>0.4</v>
      </c>
      <c r="AM72" s="783" t="s">
        <v>940</v>
      </c>
      <c r="AN72" s="610"/>
      <c r="AO72" s="610"/>
      <c r="AP72" s="610"/>
      <c r="AQ72" s="766">
        <f>Paramètres!E41</f>
        <v>0.4</v>
      </c>
      <c r="AR72" s="766">
        <f>Paramètres!F41</f>
        <v>0.45</v>
      </c>
      <c r="AS72" s="767">
        <f>Paramètres!G41</f>
        <v>0.45</v>
      </c>
      <c r="AZ72" s="2984" t="s">
        <v>541</v>
      </c>
      <c r="BA72" s="2984"/>
      <c r="BB72" s="2984"/>
      <c r="BD72" s="2984" t="s">
        <v>1402</v>
      </c>
      <c r="BE72" s="2984"/>
      <c r="BF72" s="2984"/>
    </row>
    <row r="73" spans="1:62" ht="18.75" customHeight="1" x14ac:dyDescent="0.2">
      <c r="A73" s="1245"/>
      <c r="B73" s="1687" t="s">
        <v>1382</v>
      </c>
      <c r="C73" s="1621"/>
      <c r="D73" s="1"/>
      <c r="E73" s="1683"/>
      <c r="F73" s="1"/>
      <c r="G73" s="1"/>
      <c r="H73" s="1624" t="s">
        <v>1239</v>
      </c>
      <c r="I73" s="1"/>
      <c r="J73" s="1245"/>
      <c r="K73" s="1245"/>
      <c r="L73" s="1245"/>
      <c r="M73" s="1245"/>
      <c r="N73" s="1245"/>
      <c r="O73" s="1"/>
      <c r="P73" s="1799"/>
      <c r="Q73" s="1799"/>
      <c r="R73" s="1799"/>
      <c r="S73" s="1799"/>
      <c r="T73" s="1799"/>
      <c r="U73" s="1799"/>
      <c r="V73" s="1799"/>
      <c r="W73" s="1799"/>
      <c r="X73" s="1799"/>
      <c r="Y73" s="1799"/>
      <c r="Z73" s="1799"/>
      <c r="AA73" s="573"/>
      <c r="AD73" s="573"/>
      <c r="AK73"/>
      <c r="AL73"/>
      <c r="AM73"/>
      <c r="AN73"/>
      <c r="AO73"/>
      <c r="AP73"/>
      <c r="AQ73"/>
      <c r="AR73"/>
      <c r="AS73"/>
      <c r="AZ73" s="1567" t="s">
        <v>244</v>
      </c>
      <c r="BA73" s="1662" t="s">
        <v>1320</v>
      </c>
      <c r="BB73" s="1662" t="s">
        <v>123</v>
      </c>
      <c r="BD73" s="1567" t="s">
        <v>244</v>
      </c>
      <c r="BE73" s="1662" t="s">
        <v>1320</v>
      </c>
      <c r="BF73" s="1662" t="s">
        <v>123</v>
      </c>
    </row>
    <row r="74" spans="1:62" ht="18.75" customHeight="1" x14ac:dyDescent="0.2">
      <c r="A74" s="1245"/>
      <c r="B74" s="1687" t="s">
        <v>2239</v>
      </c>
      <c r="C74" s="1621"/>
      <c r="D74" s="1622"/>
      <c r="E74" s="1623">
        <v>10</v>
      </c>
      <c r="F74" s="1624" t="s">
        <v>1383</v>
      </c>
      <c r="G74" s="1624"/>
      <c r="H74" s="1623">
        <v>230</v>
      </c>
      <c r="I74" s="1624" t="s">
        <v>1237</v>
      </c>
      <c r="J74" s="702"/>
      <c r="K74" s="702"/>
      <c r="L74" s="702"/>
      <c r="M74" s="1625">
        <f>AL72*0.75*EN_NbMalAn1Vd</f>
        <v>3.0000000000000004</v>
      </c>
      <c r="N74" s="1"/>
      <c r="O74" s="1"/>
      <c r="P74" s="1799"/>
      <c r="Q74" s="1799"/>
      <c r="R74" s="1799"/>
      <c r="S74" s="1799"/>
      <c r="T74" s="1799"/>
      <c r="U74" s="1799"/>
      <c r="V74" s="1799"/>
      <c r="W74" s="1799"/>
      <c r="X74" s="1799"/>
      <c r="Y74" s="1799"/>
      <c r="Z74" s="1799"/>
      <c r="AA74" s="573"/>
      <c r="AD74" s="573"/>
      <c r="AY74" s="1567" t="s">
        <v>1390</v>
      </c>
      <c r="AZ74" s="1568">
        <f>BB74</f>
        <v>2300</v>
      </c>
      <c r="BA74"/>
      <c r="BB74" s="1568">
        <f>EN_PdsVd*EN_NbMalAn1Vd</f>
        <v>2300</v>
      </c>
      <c r="BD74" s="1568">
        <f>BF74</f>
        <v>2001</v>
      </c>
      <c r="BE74"/>
      <c r="BF74" s="1568">
        <f>0.87*BB74</f>
        <v>2001</v>
      </c>
    </row>
    <row r="75" spans="1:62" ht="18.75" customHeight="1" x14ac:dyDescent="0.2">
      <c r="A75" s="1245"/>
      <c r="B75" s="1617" t="s">
        <v>2240</v>
      </c>
      <c r="C75" s="1621"/>
      <c r="D75" s="1624"/>
      <c r="E75" s="1623"/>
      <c r="F75" s="1624" t="s">
        <v>1383</v>
      </c>
      <c r="G75" s="1624"/>
      <c r="H75" s="1623"/>
      <c r="I75" s="1624" t="s">
        <v>1237</v>
      </c>
      <c r="J75" s="702"/>
      <c r="K75" s="702"/>
      <c r="L75" s="702"/>
      <c r="M75" s="1625">
        <f>AL72*0.25*EN_NbMalAn1Ach</f>
        <v>0</v>
      </c>
      <c r="N75" s="1"/>
      <c r="O75" s="1"/>
      <c r="P75" s="1799"/>
      <c r="Q75" s="1799"/>
      <c r="R75" s="1799"/>
      <c r="S75" s="1799"/>
      <c r="T75" s="1799"/>
      <c r="U75" s="1799"/>
      <c r="V75" s="1799"/>
      <c r="W75" s="1799"/>
      <c r="X75" s="1799"/>
      <c r="Y75" s="1799"/>
      <c r="Z75" s="1799"/>
      <c r="AA75" s="573"/>
      <c r="AD75" s="573"/>
      <c r="AY75"/>
      <c r="AZ75"/>
      <c r="BA75"/>
      <c r="BB75"/>
      <c r="BD75"/>
      <c r="BE75"/>
      <c r="BF75"/>
    </row>
    <row r="76" spans="1:62" ht="5.0999999999999996" customHeight="1" x14ac:dyDescent="0.2">
      <c r="A76" s="1245"/>
      <c r="B76" s="1245"/>
      <c r="C76" s="1245"/>
      <c r="D76" s="1245"/>
      <c r="E76" s="1245"/>
      <c r="F76" s="1245"/>
      <c r="G76" s="1"/>
      <c r="H76" s="1"/>
      <c r="I76" s="702"/>
      <c r="J76" s="702"/>
      <c r="K76" s="1245"/>
      <c r="L76" s="1245"/>
      <c r="M76" s="1245"/>
      <c r="N76" s="1245"/>
      <c r="O76" s="1"/>
      <c r="P76" s="1799"/>
      <c r="Q76" s="1799"/>
      <c r="R76" s="1799"/>
      <c r="S76" s="1799"/>
      <c r="T76" s="1799"/>
      <c r="U76" s="1799"/>
      <c r="V76" s="1799"/>
      <c r="W76" s="1799"/>
      <c r="X76" s="1799"/>
      <c r="Y76" s="1799"/>
      <c r="Z76" s="1799"/>
      <c r="AA76" s="573"/>
      <c r="AD76" s="573"/>
    </row>
    <row r="77" spans="1:62" ht="18.75" customHeight="1" x14ac:dyDescent="0.2">
      <c r="A77" s="1245"/>
      <c r="B77" s="1245"/>
      <c r="C77" s="1245"/>
      <c r="D77" s="1245"/>
      <c r="E77" s="1245"/>
      <c r="F77" s="1245"/>
      <c r="G77" s="1"/>
      <c r="H77" s="1627"/>
      <c r="I77" s="1626"/>
      <c r="J77" s="702"/>
      <c r="K77" s="1245"/>
      <c r="L77" s="1245"/>
      <c r="M77" s="1245"/>
      <c r="N77" s="1245"/>
      <c r="O77" s="1"/>
      <c r="P77" s="1799"/>
      <c r="Q77" s="1799"/>
      <c r="R77" s="1799"/>
      <c r="S77" s="1799"/>
      <c r="T77" s="1799"/>
      <c r="U77" s="1799"/>
      <c r="V77" s="1799"/>
      <c r="W77" s="1799"/>
      <c r="X77" s="1799"/>
      <c r="Y77" s="1799"/>
      <c r="Z77" s="1799"/>
      <c r="AA77" s="573"/>
      <c r="AD77" s="573"/>
      <c r="AZ77" s="2984" t="s">
        <v>1508</v>
      </c>
      <c r="BA77" s="2984"/>
      <c r="BB77" s="2984"/>
      <c r="BD77" s="2984" t="s">
        <v>1402</v>
      </c>
      <c r="BE77" s="2984"/>
      <c r="BF77" s="2984"/>
      <c r="BH77"/>
      <c r="BI77"/>
      <c r="BJ77"/>
    </row>
    <row r="78" spans="1:62" ht="18.75" customHeight="1" x14ac:dyDescent="0.2">
      <c r="A78" s="1245"/>
      <c r="B78" s="1245"/>
      <c r="C78" s="1245"/>
      <c r="D78" s="1478" t="s">
        <v>1320</v>
      </c>
      <c r="E78" s="1597" t="s">
        <v>123</v>
      </c>
      <c r="F78" s="1478" t="s">
        <v>244</v>
      </c>
      <c r="G78" s="1"/>
      <c r="H78" s="1627"/>
      <c r="I78" s="1717" t="s">
        <v>1506</v>
      </c>
      <c r="J78" s="702"/>
      <c r="K78" s="1"/>
      <c r="L78" s="1476" t="s">
        <v>1320</v>
      </c>
      <c r="M78" s="1633" t="s">
        <v>123</v>
      </c>
      <c r="N78" s="1476" t="s">
        <v>244</v>
      </c>
      <c r="O78" s="1"/>
      <c r="P78" s="1799"/>
      <c r="Q78" s="1799"/>
      <c r="R78" s="1799"/>
      <c r="S78" s="1799"/>
      <c r="T78" s="1799"/>
      <c r="U78" s="1799"/>
      <c r="V78" s="1799"/>
      <c r="W78" s="1799"/>
      <c r="X78" s="1799"/>
      <c r="Y78" s="1799"/>
      <c r="Z78" s="1799"/>
      <c r="AA78" s="573"/>
      <c r="AD78" s="573"/>
      <c r="AY78"/>
      <c r="AZ78" s="1567" t="s">
        <v>244</v>
      </c>
      <c r="BA78" s="1662" t="s">
        <v>1320</v>
      </c>
      <c r="BB78" s="1662" t="s">
        <v>123</v>
      </c>
      <c r="BD78" s="1567" t="s">
        <v>244</v>
      </c>
      <c r="BE78" s="1662" t="s">
        <v>1320</v>
      </c>
      <c r="BF78" s="1662" t="s">
        <v>123</v>
      </c>
      <c r="BH78"/>
      <c r="BI78"/>
      <c r="BJ78"/>
    </row>
    <row r="79" spans="1:62" ht="18.75" customHeight="1" x14ac:dyDescent="0.2">
      <c r="A79" s="1245"/>
      <c r="B79" s="7" t="s">
        <v>408</v>
      </c>
      <c r="C79" s="1"/>
      <c r="D79" s="18"/>
      <c r="E79" s="18"/>
      <c r="F79" s="1383">
        <f>D79+E79</f>
        <v>0</v>
      </c>
      <c r="G79" s="1"/>
      <c r="H79" s="1627"/>
      <c r="I79" s="1717" t="s">
        <v>1507</v>
      </c>
      <c r="J79" s="702"/>
      <c r="K79" s="1"/>
      <c r="L79" s="1163">
        <f>D79*AR79</f>
        <v>0</v>
      </c>
      <c r="M79" s="1163">
        <f>(E79-0.75*EN_RepouMal)*AL79</f>
        <v>0</v>
      </c>
      <c r="N79" s="1163">
        <f>L79+M79</f>
        <v>0</v>
      </c>
      <c r="O79" s="1"/>
      <c r="P79" s="1799"/>
      <c r="Q79" s="1799"/>
      <c r="R79" s="1799"/>
      <c r="S79" s="1799"/>
      <c r="T79" s="1799"/>
      <c r="U79" s="1799"/>
      <c r="V79" s="1799"/>
      <c r="W79" s="1799"/>
      <c r="X79" s="1799"/>
      <c r="Y79" s="1799"/>
      <c r="Z79" s="1799"/>
      <c r="AA79" s="573"/>
      <c r="AD79" s="573"/>
      <c r="AK79" s="751" t="str">
        <f>ADDRESS(ROW(N79),COLUMN(N79))</f>
        <v>$N$79</v>
      </c>
      <c r="AL79" s="795">
        <f>IF(EN_FormMal=1,AQ79,IF(EN_FormMal=2,AR79,IF(EN_FormMal=3,AS79,0)))</f>
        <v>0.6</v>
      </c>
      <c r="AM79" s="783" t="s">
        <v>941</v>
      </c>
      <c r="AN79" s="610"/>
      <c r="AO79" s="610"/>
      <c r="AP79" s="610"/>
      <c r="AQ79" s="766">
        <f>Paramètres!E42</f>
        <v>0.6</v>
      </c>
      <c r="AR79" s="766">
        <f>Paramètres!F42</f>
        <v>0.6</v>
      </c>
      <c r="AS79" s="767">
        <f>Paramètres!G42</f>
        <v>0.65</v>
      </c>
      <c r="AY79" s="1780" t="s">
        <v>1719</v>
      </c>
      <c r="AZ79" s="1568">
        <f>BB79</f>
        <v>0</v>
      </c>
      <c r="BB79" s="1568">
        <f>EN_RepouMal*EN_PdsRepouMal</f>
        <v>0</v>
      </c>
      <c r="BD79" s="1568">
        <f>BF79</f>
        <v>0</v>
      </c>
      <c r="BE79"/>
      <c r="BF79" s="1568">
        <f>0.87*BB79</f>
        <v>0</v>
      </c>
      <c r="BH79"/>
      <c r="BI79"/>
      <c r="BJ79"/>
    </row>
    <row r="80" spans="1:62" ht="18.75" customHeight="1" x14ac:dyDescent="0.2">
      <c r="A80" s="1245"/>
      <c r="B80" s="1687" t="s">
        <v>1505</v>
      </c>
      <c r="C80" s="1"/>
      <c r="D80" s="1"/>
      <c r="E80" s="18"/>
      <c r="F80" s="1"/>
      <c r="G80" s="1"/>
      <c r="H80" s="1"/>
      <c r="I80" s="1162"/>
      <c r="J80" s="1"/>
      <c r="K80" s="1"/>
      <c r="L80" s="1"/>
      <c r="M80" s="1"/>
      <c r="N80" s="1"/>
      <c r="O80" s="1"/>
      <c r="P80" s="1799"/>
      <c r="Q80" s="1799"/>
      <c r="R80" s="1799"/>
      <c r="S80" s="1799"/>
      <c r="T80" s="1799"/>
      <c r="U80" s="1799"/>
      <c r="V80" s="1799"/>
      <c r="W80" s="1799"/>
      <c r="X80" s="1799"/>
      <c r="Y80" s="1799"/>
      <c r="Z80" s="1799"/>
      <c r="AA80" s="573"/>
      <c r="AD80" s="573"/>
      <c r="AY80"/>
      <c r="AZ80"/>
      <c r="BA80"/>
      <c r="BB80"/>
      <c r="BD80"/>
      <c r="BE80"/>
      <c r="BF80"/>
      <c r="BH80"/>
      <c r="BI80"/>
      <c r="BJ80"/>
    </row>
    <row r="81" spans="1:67" ht="5.0999999999999996" customHeight="1" x14ac:dyDescent="0.2">
      <c r="A81" s="1245"/>
      <c r="B81" s="7"/>
      <c r="C81" s="1"/>
      <c r="D81" s="1"/>
      <c r="E81" s="1"/>
      <c r="F81" s="1"/>
      <c r="G81" s="1"/>
      <c r="H81" s="1627"/>
      <c r="I81" s="1626"/>
      <c r="J81" s="702"/>
      <c r="K81" s="1"/>
      <c r="L81" s="1"/>
      <c r="M81" s="1"/>
      <c r="N81" s="1"/>
      <c r="O81" s="1"/>
      <c r="P81" s="1799"/>
      <c r="Q81" s="1799"/>
      <c r="R81" s="1799"/>
      <c r="S81" s="1799"/>
      <c r="T81" s="1799"/>
      <c r="U81" s="1799"/>
      <c r="V81" s="1799"/>
      <c r="W81" s="1799"/>
      <c r="X81" s="1799"/>
      <c r="Y81" s="1799"/>
      <c r="Z81" s="1799"/>
      <c r="AA81" s="573"/>
      <c r="AD81" s="573"/>
      <c r="AJ81"/>
      <c r="AK81"/>
      <c r="AL81"/>
      <c r="AM81"/>
      <c r="AN81"/>
      <c r="AO81"/>
      <c r="AP81"/>
      <c r="AQ81"/>
      <c r="AR81"/>
      <c r="AS81"/>
      <c r="AT81"/>
      <c r="AU81"/>
      <c r="AV81"/>
      <c r="AW81"/>
      <c r="AX81"/>
      <c r="AY81"/>
      <c r="AZ81"/>
      <c r="BD81"/>
    </row>
    <row r="82" spans="1:67" ht="18.75" customHeight="1" x14ac:dyDescent="0.2">
      <c r="A82" s="1245"/>
      <c r="B82" s="7"/>
      <c r="C82" s="1"/>
      <c r="D82" s="1"/>
      <c r="E82" s="1"/>
      <c r="F82" s="1"/>
      <c r="G82" s="1"/>
      <c r="H82" s="1627" t="s">
        <v>1249</v>
      </c>
      <c r="I82" s="1626"/>
      <c r="J82" s="1626"/>
      <c r="K82" s="1"/>
      <c r="L82" s="1"/>
      <c r="M82" s="1"/>
      <c r="N82" s="1"/>
      <c r="O82" s="1"/>
      <c r="P82" s="1799"/>
      <c r="Q82" s="1799"/>
      <c r="R82" s="1799"/>
      <c r="S82" s="1799"/>
      <c r="T82" s="1799"/>
      <c r="U82" s="1799"/>
      <c r="V82" s="1799"/>
      <c r="W82" s="1799"/>
      <c r="X82" s="1799"/>
      <c r="Y82" s="1799"/>
      <c r="Z82" s="1799"/>
      <c r="AA82" s="573"/>
      <c r="AD82" s="573"/>
      <c r="AJ82"/>
      <c r="AK82"/>
      <c r="AL82"/>
      <c r="AM82"/>
      <c r="AN82"/>
      <c r="AO82"/>
      <c r="AP82"/>
      <c r="AQ82"/>
      <c r="AR82"/>
      <c r="AS82"/>
      <c r="AT82"/>
      <c r="AU82"/>
      <c r="AV82"/>
      <c r="AW82"/>
      <c r="AX82"/>
      <c r="AY82"/>
      <c r="AZ82" s="2984" t="s">
        <v>541</v>
      </c>
      <c r="BA82" s="2984"/>
      <c r="BB82" s="2984"/>
      <c r="BD82" s="2984" t="s">
        <v>1402</v>
      </c>
      <c r="BE82" s="2984"/>
      <c r="BF82" s="2984"/>
      <c r="BH82" s="3006" t="s">
        <v>1363</v>
      </c>
      <c r="BI82" s="3006"/>
      <c r="BJ82" s="3006"/>
    </row>
    <row r="83" spans="1:67" ht="18.75" customHeight="1" x14ac:dyDescent="0.2">
      <c r="A83" s="1245"/>
      <c r="B83" s="1471" t="s">
        <v>1281</v>
      </c>
      <c r="C83" s="1"/>
      <c r="D83" s="1478" t="s">
        <v>1320</v>
      </c>
      <c r="E83" s="1597" t="s">
        <v>123</v>
      </c>
      <c r="F83" s="1478" t="s">
        <v>244</v>
      </c>
      <c r="G83" s="1"/>
      <c r="H83" s="1478" t="s">
        <v>1320</v>
      </c>
      <c r="I83" s="1597" t="s">
        <v>123</v>
      </c>
      <c r="J83" s="1478"/>
      <c r="K83" s="1"/>
      <c r="L83" s="1476" t="s">
        <v>1320</v>
      </c>
      <c r="M83" s="1633" t="s">
        <v>123</v>
      </c>
      <c r="N83" s="1476" t="s">
        <v>244</v>
      </c>
      <c r="O83" s="1"/>
      <c r="P83" s="1799"/>
      <c r="Q83" s="1799"/>
      <c r="R83" s="1799"/>
      <c r="S83" s="1799"/>
      <c r="T83" s="1799"/>
      <c r="U83" s="1799"/>
      <c r="V83" s="1799"/>
      <c r="W83" s="1799"/>
      <c r="X83" s="1799"/>
      <c r="Y83" s="1799"/>
      <c r="Z83" s="1799"/>
      <c r="AA83" s="573"/>
      <c r="AD83" s="573"/>
      <c r="AK83" s="604"/>
      <c r="AL83" s="793"/>
      <c r="AM83" s="610"/>
      <c r="AN83" s="610"/>
      <c r="AO83" s="610"/>
      <c r="AP83" s="610"/>
      <c r="AQ83" s="610"/>
      <c r="AR83" s="610"/>
      <c r="AS83" s="783"/>
      <c r="AZ83" s="1567" t="s">
        <v>244</v>
      </c>
      <c r="BA83" s="1662" t="s">
        <v>1320</v>
      </c>
      <c r="BB83" s="1662" t="s">
        <v>123</v>
      </c>
      <c r="BD83" s="1567" t="s">
        <v>244</v>
      </c>
      <c r="BE83" s="1662" t="s">
        <v>1320</v>
      </c>
      <c r="BF83" s="1662" t="s">
        <v>123</v>
      </c>
      <c r="BH83" s="1567" t="s">
        <v>244</v>
      </c>
      <c r="BI83" s="1662" t="s">
        <v>1320</v>
      </c>
      <c r="BJ83" s="1662" t="s">
        <v>123</v>
      </c>
      <c r="BL83" s="1925" t="s">
        <v>1320</v>
      </c>
      <c r="BM83" s="1925" t="s">
        <v>123</v>
      </c>
      <c r="BN83" s="1925" t="s">
        <v>1320</v>
      </c>
      <c r="BO83" s="1925" t="s">
        <v>123</v>
      </c>
    </row>
    <row r="84" spans="1:67" ht="18.75" customHeight="1" x14ac:dyDescent="0.2">
      <c r="A84" s="1245"/>
      <c r="B84" s="1"/>
      <c r="C84" s="1524" t="s">
        <v>1245</v>
      </c>
      <c r="D84" s="18"/>
      <c r="E84" s="18"/>
      <c r="F84" s="1383">
        <f>D84+E84</f>
        <v>0</v>
      </c>
      <c r="G84" s="1"/>
      <c r="H84" s="1162"/>
      <c r="I84" s="1162"/>
      <c r="J84" s="1478"/>
      <c r="K84" s="1476"/>
      <c r="L84" s="1163">
        <f>D84*AR84</f>
        <v>0</v>
      </c>
      <c r="M84" s="1163">
        <f>E84*AL84</f>
        <v>0</v>
      </c>
      <c r="N84" s="1163">
        <f>L84+M84</f>
        <v>0</v>
      </c>
      <c r="O84" s="1"/>
      <c r="P84" s="1799"/>
      <c r="Q84" s="1799"/>
      <c r="R84" s="1799"/>
      <c r="S84" s="1799"/>
      <c r="T84" s="1799"/>
      <c r="U84" s="1799"/>
      <c r="V84" s="1799"/>
      <c r="W84" s="1799"/>
      <c r="X84" s="1799"/>
      <c r="Y84" s="1799"/>
      <c r="Z84" s="1799"/>
      <c r="AK84" s="751" t="str">
        <f>ADDRESS(ROW(N84),COLUMN(N84))</f>
        <v>$N$84</v>
      </c>
      <c r="AL84" s="795">
        <f>IF(EN_FormMal=1,AQ84,IF(EN_FormMal=2,AR84,IF(EN_FormMal=3,AS84,0)))</f>
        <v>0.25</v>
      </c>
      <c r="AM84" s="783" t="s">
        <v>942</v>
      </c>
      <c r="AN84" s="610"/>
      <c r="AO84" s="610"/>
      <c r="AP84" s="610"/>
      <c r="AQ84" s="766">
        <f>Paramètres!E44</f>
        <v>0.25</v>
      </c>
      <c r="AR84" s="766">
        <f>Paramètres!F44</f>
        <v>0.26666666666666666</v>
      </c>
      <c r="AS84" s="767">
        <f>Paramètres!G44</f>
        <v>0.28333333333333333</v>
      </c>
      <c r="AY84" s="1567" t="s">
        <v>1391</v>
      </c>
      <c r="AZ84" s="1568">
        <f>BA84+BB84</f>
        <v>0</v>
      </c>
      <c r="BA84" s="1568">
        <f t="shared" ref="BA84:BB87" si="0">H84*D84</f>
        <v>0</v>
      </c>
      <c r="BB84" s="1568">
        <f t="shared" si="0"/>
        <v>0</v>
      </c>
      <c r="BD84" s="1568">
        <f>BE84+BF84</f>
        <v>0</v>
      </c>
      <c r="BE84" s="1568">
        <f t="shared" ref="BE84:BF87" si="1">BN84*BA84</f>
        <v>0</v>
      </c>
      <c r="BF84" s="1568">
        <f t="shared" si="1"/>
        <v>0</v>
      </c>
      <c r="BH84" s="1428">
        <f>BI84+BJ84</f>
        <v>0</v>
      </c>
      <c r="BI84" s="1428">
        <f t="shared" ref="BI84:BJ87" si="2">IF(D84*H84=0,0,D84)</f>
        <v>0</v>
      </c>
      <c r="BJ84" s="1428">
        <f t="shared" si="2"/>
        <v>0</v>
      </c>
      <c r="BL84" s="1733">
        <v>650</v>
      </c>
      <c r="BM84" s="1733">
        <v>680</v>
      </c>
      <c r="BN84" s="1734">
        <f t="shared" ref="BN84:BO87" si="3">1-45/BL84</f>
        <v>0.93076923076923079</v>
      </c>
      <c r="BO84" s="1734">
        <f t="shared" si="3"/>
        <v>0.93382352941176472</v>
      </c>
    </row>
    <row r="85" spans="1:67" ht="18.75" customHeight="1" x14ac:dyDescent="0.2">
      <c r="A85" s="1245"/>
      <c r="B85" s="1"/>
      <c r="C85" s="1524" t="s">
        <v>1246</v>
      </c>
      <c r="D85" s="18"/>
      <c r="E85" s="18"/>
      <c r="F85" s="1383">
        <f>D85+E85</f>
        <v>0</v>
      </c>
      <c r="G85" s="1"/>
      <c r="H85" s="1162"/>
      <c r="I85" s="1162"/>
      <c r="J85" s="1478"/>
      <c r="K85" s="1476"/>
      <c r="L85" s="1163">
        <f>D85*AR85</f>
        <v>0</v>
      </c>
      <c r="M85" s="1163">
        <f>E85*AL85</f>
        <v>0</v>
      </c>
      <c r="N85" s="1163">
        <f>L85+M85</f>
        <v>0</v>
      </c>
      <c r="O85" s="1"/>
      <c r="P85" s="1799"/>
      <c r="Q85" s="1799"/>
      <c r="R85" s="1799"/>
      <c r="S85" s="1799"/>
      <c r="T85" s="1799"/>
      <c r="U85" s="1799"/>
      <c r="V85" s="1799"/>
      <c r="W85" s="1799"/>
      <c r="X85" s="1799"/>
      <c r="Y85" s="1799"/>
      <c r="Z85" s="1799"/>
      <c r="AA85" s="573"/>
      <c r="AD85" s="573"/>
      <c r="AK85" s="751" t="str">
        <f>ADDRESS(ROW(N85),COLUMN(N85))</f>
        <v>$N$85</v>
      </c>
      <c r="AL85" s="795">
        <f>IF(EN_FormMal=1,AQ85,IF(EN_FormMal=2,AR85,IF(EN_FormMal=3,AS85,0)))</f>
        <v>0.375</v>
      </c>
      <c r="AM85" s="783" t="s">
        <v>943</v>
      </c>
      <c r="AN85" s="610"/>
      <c r="AO85" s="610"/>
      <c r="AP85" s="610"/>
      <c r="AQ85" s="766">
        <f>Paramètres!E45</f>
        <v>0.375</v>
      </c>
      <c r="AR85" s="766">
        <f>Paramètres!F45</f>
        <v>0.4</v>
      </c>
      <c r="AS85" s="767">
        <f>Paramètres!G45</f>
        <v>0.42499999999999999</v>
      </c>
      <c r="AY85" s="1567" t="s">
        <v>1392</v>
      </c>
      <c r="AZ85" s="1568">
        <f>BA85+BB85</f>
        <v>0</v>
      </c>
      <c r="BA85" s="1568">
        <f t="shared" si="0"/>
        <v>0</v>
      </c>
      <c r="BB85" s="1568">
        <f t="shared" si="0"/>
        <v>0</v>
      </c>
      <c r="BD85" s="1568">
        <f>BE85+BF85</f>
        <v>0</v>
      </c>
      <c r="BE85" s="1568">
        <f t="shared" si="1"/>
        <v>0</v>
      </c>
      <c r="BF85" s="1568">
        <f t="shared" si="1"/>
        <v>0</v>
      </c>
      <c r="BH85" s="1428">
        <f>BI85+BJ85</f>
        <v>0</v>
      </c>
      <c r="BI85" s="1428">
        <f t="shared" si="2"/>
        <v>0</v>
      </c>
      <c r="BJ85" s="1428">
        <f t="shared" si="2"/>
        <v>0</v>
      </c>
      <c r="BL85" s="1733">
        <v>685</v>
      </c>
      <c r="BM85" s="1733">
        <v>700</v>
      </c>
      <c r="BN85" s="1734">
        <f t="shared" si="3"/>
        <v>0.93430656934306566</v>
      </c>
      <c r="BO85" s="1734">
        <f t="shared" si="3"/>
        <v>0.93571428571428572</v>
      </c>
    </row>
    <row r="86" spans="1:67" ht="18.75" customHeight="1" x14ac:dyDescent="0.2">
      <c r="A86" s="1245"/>
      <c r="B86" s="1"/>
      <c r="C86" s="1524" t="s">
        <v>1247</v>
      </c>
      <c r="D86" s="18"/>
      <c r="E86" s="18"/>
      <c r="F86" s="1383">
        <f>D86+E86</f>
        <v>0</v>
      </c>
      <c r="G86" s="1"/>
      <c r="H86" s="1162"/>
      <c r="I86" s="1162"/>
      <c r="J86" s="1478"/>
      <c r="K86" s="1476"/>
      <c r="L86" s="1163">
        <f>D86*AR86</f>
        <v>0</v>
      </c>
      <c r="M86" s="1163">
        <f>E86*AL86</f>
        <v>0</v>
      </c>
      <c r="N86" s="1163">
        <f>L86+M86</f>
        <v>0</v>
      </c>
      <c r="O86" s="1"/>
      <c r="P86" s="1799"/>
      <c r="Q86" s="1799"/>
      <c r="R86" s="1799"/>
      <c r="S86" s="1799"/>
      <c r="T86" s="1799"/>
      <c r="U86" s="1799"/>
      <c r="V86" s="1799"/>
      <c r="W86" s="1799"/>
      <c r="X86" s="1799"/>
      <c r="Y86" s="1799"/>
      <c r="Z86" s="1799"/>
      <c r="AA86" s="573"/>
      <c r="AD86" s="573"/>
      <c r="AK86" s="751" t="str">
        <f>ADDRESS(ROW(N86),COLUMN(N86))</f>
        <v>$N$86</v>
      </c>
      <c r="AL86" s="795">
        <f>IF(EN_FormMal=1,AQ86,IF(EN_FormMal=2,AR86,IF(EN_FormMal=3,AS86,0)))</f>
        <v>0.5625</v>
      </c>
      <c r="AM86" s="783" t="s">
        <v>944</v>
      </c>
      <c r="AN86" s="610"/>
      <c r="AO86" s="610"/>
      <c r="AP86" s="610"/>
      <c r="AQ86" s="766">
        <f>Paramètres!E46</f>
        <v>0.5625</v>
      </c>
      <c r="AR86" s="766">
        <f>Paramètres!F46</f>
        <v>0.60000000000000009</v>
      </c>
      <c r="AS86" s="767">
        <f>Paramètres!G46</f>
        <v>0.63749999999999996</v>
      </c>
      <c r="AY86" s="1567" t="s">
        <v>1393</v>
      </c>
      <c r="AZ86" s="1568">
        <f>BA86+BB86</f>
        <v>0</v>
      </c>
      <c r="BA86" s="1568">
        <f t="shared" si="0"/>
        <v>0</v>
      </c>
      <c r="BB86" s="1568">
        <f t="shared" si="0"/>
        <v>0</v>
      </c>
      <c r="BD86" s="1568">
        <f>BE86+BF86</f>
        <v>0</v>
      </c>
      <c r="BE86" s="1568">
        <f t="shared" si="1"/>
        <v>0</v>
      </c>
      <c r="BF86" s="1568">
        <f t="shared" si="1"/>
        <v>0</v>
      </c>
      <c r="BH86" s="1428">
        <f>BI86+BJ86</f>
        <v>0</v>
      </c>
      <c r="BI86" s="1428">
        <f t="shared" si="2"/>
        <v>0</v>
      </c>
      <c r="BJ86" s="1428">
        <f t="shared" si="2"/>
        <v>0</v>
      </c>
      <c r="BL86" s="1733">
        <v>705</v>
      </c>
      <c r="BM86" s="1733">
        <v>715</v>
      </c>
      <c r="BN86" s="1734">
        <f t="shared" si="3"/>
        <v>0.93617021276595747</v>
      </c>
      <c r="BO86" s="1734">
        <f t="shared" si="3"/>
        <v>0.93706293706293708</v>
      </c>
    </row>
    <row r="87" spans="1:67" ht="18.75" customHeight="1" x14ac:dyDescent="0.2">
      <c r="A87" s="1245"/>
      <c r="B87" s="1"/>
      <c r="C87" s="1524" t="s">
        <v>1248</v>
      </c>
      <c r="D87" s="18"/>
      <c r="E87" s="18"/>
      <c r="F87" s="1383">
        <f>D87+E87</f>
        <v>0</v>
      </c>
      <c r="G87" s="1"/>
      <c r="H87" s="1162"/>
      <c r="I87" s="1162"/>
      <c r="J87" s="1478"/>
      <c r="K87" s="1476"/>
      <c r="L87" s="1163">
        <f>D87*AR87</f>
        <v>0</v>
      </c>
      <c r="M87" s="1163">
        <f>E87*AL87</f>
        <v>0</v>
      </c>
      <c r="N87" s="1163">
        <f>L87+M87</f>
        <v>0</v>
      </c>
      <c r="O87" s="1"/>
      <c r="P87" s="1799"/>
      <c r="Q87" s="1799"/>
      <c r="R87" s="1799"/>
      <c r="S87" s="1799"/>
      <c r="T87" s="1799"/>
      <c r="U87" s="1799"/>
      <c r="V87" s="1799"/>
      <c r="W87" s="1799"/>
      <c r="X87" s="1799"/>
      <c r="Y87" s="1799"/>
      <c r="Z87" s="1799"/>
      <c r="AA87" s="573"/>
      <c r="AD87" s="573"/>
      <c r="AK87" s="752" t="str">
        <f>ADDRESS(ROW(N87),COLUMN(N87))</f>
        <v>$N$87</v>
      </c>
      <c r="AL87" s="768">
        <f>IF(EN_FormMal=1,AQ87,IF(EN_FormMal=2,AR87,IF(EN_FormMal=3,AS87,0)))</f>
        <v>0.75</v>
      </c>
      <c r="AM87" s="740" t="s">
        <v>945</v>
      </c>
      <c r="AN87" s="739"/>
      <c r="AO87" s="739"/>
      <c r="AP87" s="739"/>
      <c r="AQ87" s="764">
        <f>Paramètres!E47</f>
        <v>0.75</v>
      </c>
      <c r="AR87" s="764">
        <f>Paramètres!F47</f>
        <v>0.8</v>
      </c>
      <c r="AS87" s="765">
        <f>Paramètres!G47</f>
        <v>0.85</v>
      </c>
      <c r="AU87"/>
      <c r="AY87" s="1567" t="s">
        <v>1394</v>
      </c>
      <c r="AZ87" s="1568">
        <f>BA87+BB87</f>
        <v>0</v>
      </c>
      <c r="BA87" s="1568">
        <f t="shared" si="0"/>
        <v>0</v>
      </c>
      <c r="BB87" s="1568">
        <f t="shared" si="0"/>
        <v>0</v>
      </c>
      <c r="BD87" s="1568">
        <f>BE87+BF87</f>
        <v>0</v>
      </c>
      <c r="BE87" s="1568">
        <f t="shared" si="1"/>
        <v>0</v>
      </c>
      <c r="BF87" s="1568">
        <f t="shared" si="1"/>
        <v>0</v>
      </c>
      <c r="BH87" s="1428">
        <f>BI87+BJ87</f>
        <v>0</v>
      </c>
      <c r="BI87" s="1428">
        <f t="shared" si="2"/>
        <v>0</v>
      </c>
      <c r="BJ87" s="1428">
        <f t="shared" si="2"/>
        <v>0</v>
      </c>
      <c r="BL87" s="1733">
        <v>730</v>
      </c>
      <c r="BM87" s="1733">
        <v>730</v>
      </c>
      <c r="BN87" s="1734">
        <f t="shared" si="3"/>
        <v>0.93835616438356162</v>
      </c>
      <c r="BO87" s="1734">
        <f t="shared" si="3"/>
        <v>0.93835616438356162</v>
      </c>
    </row>
    <row r="88" spans="1:67" ht="15" customHeight="1" x14ac:dyDescent="0.2">
      <c r="A88" s="1245"/>
      <c r="B88" s="1"/>
      <c r="C88" s="15"/>
      <c r="D88" s="20"/>
      <c r="E88" s="20"/>
      <c r="F88" s="20"/>
      <c r="G88" s="15"/>
      <c r="H88" s="1"/>
      <c r="I88" s="1"/>
      <c r="J88" s="1478"/>
      <c r="K88" s="1"/>
      <c r="L88" s="1"/>
      <c r="M88" s="1"/>
      <c r="N88" s="5"/>
      <c r="O88" s="1"/>
      <c r="P88" s="1799"/>
      <c r="Q88" s="1799"/>
      <c r="R88" s="1799"/>
      <c r="S88" s="1799"/>
      <c r="T88" s="1799"/>
      <c r="U88" s="1799"/>
      <c r="V88" s="1799"/>
      <c r="W88" s="1799"/>
      <c r="X88" s="1799"/>
      <c r="Y88" s="1799"/>
      <c r="Z88" s="1799"/>
      <c r="AA88" s="573"/>
      <c r="AD88" s="573"/>
      <c r="AK88"/>
      <c r="AL88" s="792"/>
      <c r="AU88"/>
      <c r="AV88" s="611"/>
      <c r="AW88"/>
      <c r="AX88"/>
    </row>
    <row r="89" spans="1:67" ht="15" customHeight="1" x14ac:dyDescent="0.2">
      <c r="A89" s="1245"/>
      <c r="B89" s="1720"/>
      <c r="C89" s="1"/>
      <c r="D89" s="1"/>
      <c r="E89" s="1"/>
      <c r="F89" s="1"/>
      <c r="G89" s="1"/>
      <c r="H89" s="1627" t="s">
        <v>1249</v>
      </c>
      <c r="I89" s="1626"/>
      <c r="J89" s="1626"/>
      <c r="K89" s="1"/>
      <c r="L89" s="1"/>
      <c r="M89" s="1"/>
      <c r="N89" s="1"/>
      <c r="O89" s="1"/>
      <c r="P89" s="1799"/>
      <c r="Q89" s="1799"/>
      <c r="R89" s="1799"/>
      <c r="S89" s="1799"/>
      <c r="T89" s="1799"/>
      <c r="U89" s="1799"/>
      <c r="V89" s="1799"/>
      <c r="W89" s="1799"/>
      <c r="X89" s="1799"/>
      <c r="Y89" s="1799"/>
      <c r="Z89" s="1799"/>
      <c r="AA89" s="573"/>
      <c r="AC89"/>
      <c r="AD89"/>
      <c r="AE89"/>
      <c r="AK89" s="751" t="str">
        <f>ADDRESS(ROW(N89),COLUMN(N89))</f>
        <v>$N$89</v>
      </c>
      <c r="AL89" s="1728">
        <f>Paramètres!E49</f>
        <v>1</v>
      </c>
      <c r="AM89" s="1730" t="s">
        <v>1518</v>
      </c>
      <c r="AU89"/>
      <c r="AV89" s="611"/>
      <c r="AW89"/>
      <c r="AX89"/>
      <c r="AY89"/>
      <c r="AZ89" s="2984" t="s">
        <v>541</v>
      </c>
      <c r="BA89" s="2984"/>
      <c r="BB89" s="2984"/>
      <c r="BD89" s="2984" t="s">
        <v>1402</v>
      </c>
      <c r="BE89" s="2984"/>
      <c r="BF89" s="2984"/>
    </row>
    <row r="90" spans="1:67" ht="15" customHeight="1" x14ac:dyDescent="0.2">
      <c r="A90" s="1245"/>
      <c r="B90" s="1720"/>
      <c r="C90" s="1"/>
      <c r="D90" s="1478" t="s">
        <v>1320</v>
      </c>
      <c r="E90" s="1722" t="s">
        <v>123</v>
      </c>
      <c r="F90" s="1478" t="s">
        <v>244</v>
      </c>
      <c r="G90" s="1"/>
      <c r="H90" s="1478" t="s">
        <v>1320</v>
      </c>
      <c r="I90" s="1722" t="s">
        <v>123</v>
      </c>
      <c r="J90" s="1478"/>
      <c r="K90" s="1"/>
      <c r="L90" s="1476" t="s">
        <v>1320</v>
      </c>
      <c r="M90" s="1633" t="s">
        <v>123</v>
      </c>
      <c r="N90" s="1476" t="s">
        <v>244</v>
      </c>
      <c r="O90" s="1"/>
      <c r="P90" s="1799"/>
      <c r="Q90" s="1799"/>
      <c r="R90" s="1799"/>
      <c r="S90" s="1799"/>
      <c r="T90" s="1799"/>
      <c r="U90" s="1799"/>
      <c r="V90" s="1799"/>
      <c r="W90" s="1799"/>
      <c r="X90" s="1799"/>
      <c r="Y90" s="1799"/>
      <c r="Z90" s="1799"/>
      <c r="AA90" s="573"/>
      <c r="AC90"/>
      <c r="AD90"/>
      <c r="AE90"/>
      <c r="AK90" s="752" t="str">
        <f>ADDRESS(ROW(N90),COLUMN(N90))</f>
        <v>$N$90</v>
      </c>
      <c r="AL90" s="1729">
        <f>Paramètres!E50</f>
        <v>1</v>
      </c>
      <c r="AM90" s="1730" t="s">
        <v>1519</v>
      </c>
      <c r="AU90"/>
      <c r="AV90" s="611"/>
      <c r="AW90"/>
      <c r="AX90"/>
      <c r="AZ90" s="1567" t="s">
        <v>244</v>
      </c>
      <c r="BA90" s="1662" t="s">
        <v>1320</v>
      </c>
      <c r="BB90" s="1662" t="s">
        <v>123</v>
      </c>
      <c r="BD90" s="1567" t="s">
        <v>244</v>
      </c>
      <c r="BE90" s="1662" t="s">
        <v>1320</v>
      </c>
      <c r="BF90" s="1662" t="s">
        <v>123</v>
      </c>
    </row>
    <row r="91" spans="1:67" ht="15" customHeight="1" x14ac:dyDescent="0.2">
      <c r="A91" s="1245"/>
      <c r="B91" s="1719" t="s">
        <v>1517</v>
      </c>
      <c r="C91" s="1524"/>
      <c r="D91" s="18"/>
      <c r="E91" s="18"/>
      <c r="F91" s="1383">
        <f>D91+E91</f>
        <v>0</v>
      </c>
      <c r="G91" s="1"/>
      <c r="H91" s="1162"/>
      <c r="I91" s="1162"/>
      <c r="J91" s="1478"/>
      <c r="K91" s="1476"/>
      <c r="L91" s="1163">
        <f>D91*AL89</f>
        <v>0</v>
      </c>
      <c r="M91" s="1163">
        <f>E91*AL90</f>
        <v>0</v>
      </c>
      <c r="N91" s="1163">
        <f>L91+M91</f>
        <v>0</v>
      </c>
      <c r="O91" s="1"/>
      <c r="P91" s="1799"/>
      <c r="Q91" s="1799"/>
      <c r="R91" s="1799"/>
      <c r="S91" s="1799"/>
      <c r="T91" s="1799"/>
      <c r="U91" s="1799"/>
      <c r="V91" s="1799"/>
      <c r="W91" s="1799"/>
      <c r="X91" s="1799"/>
      <c r="Y91" s="1799"/>
      <c r="Z91" s="1799"/>
      <c r="AA91" s="573"/>
      <c r="AC91"/>
      <c r="AD91"/>
      <c r="AE91"/>
      <c r="AK91"/>
      <c r="AL91" s="792"/>
      <c r="AU91"/>
      <c r="AV91" s="611"/>
      <c r="AW91"/>
      <c r="AX91"/>
      <c r="AY91" s="1567" t="s">
        <v>1520</v>
      </c>
      <c r="AZ91" s="1568">
        <f>BA91+BB91</f>
        <v>0</v>
      </c>
      <c r="BA91" s="1568">
        <f>H91*D91</f>
        <v>0</v>
      </c>
      <c r="BB91" s="1568">
        <f>I91*E91</f>
        <v>0</v>
      </c>
      <c r="BD91" s="1568">
        <f>BE91+BF91</f>
        <v>0</v>
      </c>
      <c r="BE91" s="1568">
        <f>0.95*BA91</f>
        <v>0</v>
      </c>
      <c r="BF91" s="1568">
        <f>0.95*BB91</f>
        <v>0</v>
      </c>
    </row>
    <row r="92" spans="1:67" ht="18.75" customHeight="1" x14ac:dyDescent="0.2">
      <c r="A92" s="1245"/>
      <c r="B92" s="1"/>
      <c r="C92" s="15"/>
      <c r="D92" s="20"/>
      <c r="E92" s="20"/>
      <c r="F92" s="20"/>
      <c r="G92" s="15"/>
      <c r="H92" s="10"/>
      <c r="I92" s="10"/>
      <c r="J92" s="1478"/>
      <c r="K92" s="10"/>
      <c r="L92" s="1"/>
      <c r="M92" s="1"/>
      <c r="N92" s="1562"/>
      <c r="O92" s="1"/>
      <c r="P92" s="1799"/>
      <c r="Q92" s="1799"/>
      <c r="R92" s="1799"/>
      <c r="S92" s="1799"/>
      <c r="T92" s="1799"/>
      <c r="U92" s="1799"/>
      <c r="V92" s="1799"/>
      <c r="W92" s="1799"/>
      <c r="X92" s="1799"/>
      <c r="Y92" s="1799"/>
      <c r="Z92" s="1799"/>
      <c r="AA92" s="573"/>
      <c r="AD92" s="573"/>
      <c r="AK92"/>
      <c r="AL92" s="792"/>
      <c r="AU92" s="611"/>
      <c r="AV92" s="611"/>
      <c r="AW92"/>
      <c r="AX92"/>
    </row>
    <row r="93" spans="1:67" ht="18.75" customHeight="1" x14ac:dyDescent="0.2">
      <c r="A93" s="1245"/>
      <c r="B93" s="1"/>
      <c r="C93" s="15"/>
      <c r="D93" s="1784" t="s">
        <v>2033</v>
      </c>
      <c r="E93" s="1"/>
      <c r="F93" s="1"/>
      <c r="G93" s="1"/>
      <c r="H93" s="1"/>
      <c r="I93" s="10"/>
      <c r="J93" s="10"/>
      <c r="K93" s="10"/>
      <c r="L93" s="1"/>
      <c r="M93" s="1"/>
      <c r="N93" s="1562"/>
      <c r="O93" s="1"/>
      <c r="P93" s="1799"/>
      <c r="Q93" s="1799"/>
      <c r="R93" s="1799"/>
      <c r="S93" s="1799"/>
      <c r="T93" s="1799"/>
      <c r="U93" s="1799"/>
      <c r="V93" s="1799"/>
      <c r="W93" s="1799"/>
      <c r="X93" s="1799"/>
      <c r="Y93" s="1799"/>
      <c r="Z93" s="1799"/>
      <c r="AA93" s="746" t="str">
        <f>ADDRESS(ROW(E93),COLUMN(E93))</f>
        <v>$E$93</v>
      </c>
      <c r="AB93" s="745" t="s">
        <v>471</v>
      </c>
      <c r="AC93" s="742">
        <v>1</v>
      </c>
      <c r="AD93" s="748" t="s">
        <v>319</v>
      </c>
      <c r="AE93" s="743"/>
      <c r="AF93" s="743"/>
      <c r="AG93" s="743"/>
      <c r="AH93" s="743"/>
      <c r="AI93" s="744"/>
      <c r="AK93"/>
      <c r="AL93" s="792"/>
    </row>
    <row r="94" spans="1:67" ht="18.75" customHeight="1" x14ac:dyDescent="0.2">
      <c r="A94" s="1245"/>
      <c r="B94" s="1"/>
      <c r="C94" s="15"/>
      <c r="D94" s="1581"/>
      <c r="E94" s="1"/>
      <c r="F94" s="1"/>
      <c r="G94" s="1"/>
      <c r="H94" s="1627" t="s">
        <v>1249</v>
      </c>
      <c r="I94" s="1626"/>
      <c r="J94" s="1626"/>
      <c r="K94" s="10"/>
      <c r="L94" s="1"/>
      <c r="M94" s="1"/>
      <c r="N94" s="1595"/>
      <c r="O94" s="1"/>
      <c r="P94" s="1799"/>
      <c r="Q94" s="1799"/>
      <c r="R94" s="1799"/>
      <c r="S94" s="1799"/>
      <c r="T94" s="1799"/>
      <c r="U94" s="1799"/>
      <c r="V94" s="1799"/>
      <c r="W94" s="1799"/>
      <c r="X94" s="1799"/>
      <c r="Y94" s="1799"/>
      <c r="Z94" s="1799"/>
      <c r="AA94"/>
      <c r="AB94"/>
      <c r="AC94"/>
      <c r="AD94" s="611"/>
      <c r="AE94" s="610"/>
      <c r="AF94" s="610"/>
      <c r="AG94" s="610"/>
      <c r="AH94" s="610"/>
      <c r="AI94" s="610"/>
      <c r="AK94"/>
      <c r="AL94" s="792"/>
    </row>
    <row r="95" spans="1:67" ht="18.75" customHeight="1" x14ac:dyDescent="0.2">
      <c r="A95" s="1245"/>
      <c r="B95" s="1"/>
      <c r="C95" s="15"/>
      <c r="D95" s="1570" t="s">
        <v>1320</v>
      </c>
      <c r="E95" s="1616" t="s">
        <v>123</v>
      </c>
      <c r="F95" s="1570" t="s">
        <v>244</v>
      </c>
      <c r="G95" s="1"/>
      <c r="H95" s="1478" t="s">
        <v>1320</v>
      </c>
      <c r="I95" s="1597" t="s">
        <v>123</v>
      </c>
      <c r="J95" s="1478"/>
      <c r="K95" s="10"/>
      <c r="L95" s="1476" t="s">
        <v>1320</v>
      </c>
      <c r="M95" s="1633" t="s">
        <v>123</v>
      </c>
      <c r="N95" s="1476" t="s">
        <v>244</v>
      </c>
      <c r="O95" s="1"/>
      <c r="P95" s="1799"/>
      <c r="Q95" s="1799"/>
      <c r="R95" s="1799"/>
      <c r="S95" s="1799"/>
      <c r="T95" s="1799"/>
      <c r="U95" s="1799"/>
      <c r="V95" s="1799"/>
      <c r="W95" s="1799"/>
      <c r="X95" s="1799"/>
      <c r="Y95" s="1799"/>
      <c r="Z95" s="1799"/>
      <c r="AA95"/>
      <c r="AB95"/>
      <c r="AC95"/>
      <c r="AD95" s="611"/>
      <c r="AE95" s="610"/>
      <c r="AF95" s="610"/>
      <c r="AG95" s="610"/>
      <c r="AH95" s="610"/>
      <c r="AI95" s="610"/>
      <c r="AK95"/>
      <c r="AL95" s="792"/>
      <c r="AU95" s="777" t="s">
        <v>578</v>
      </c>
      <c r="AV95" s="749" t="s">
        <v>579</v>
      </c>
      <c r="AW95" s="796" t="s">
        <v>580</v>
      </c>
      <c r="AZ95" s="2984" t="s">
        <v>541</v>
      </c>
      <c r="BA95" s="2984"/>
      <c r="BB95" s="2984"/>
      <c r="BD95" s="2984" t="s">
        <v>1402</v>
      </c>
      <c r="BE95" s="2984"/>
      <c r="BF95" s="2984"/>
    </row>
    <row r="96" spans="1:67" ht="18.75" customHeight="1" x14ac:dyDescent="0.2">
      <c r="A96" s="1245"/>
      <c r="B96" s="1471" t="s">
        <v>1314</v>
      </c>
      <c r="C96" s="4"/>
      <c r="D96" s="20"/>
      <c r="E96" s="18"/>
      <c r="F96" s="1383">
        <f>E96</f>
        <v>0</v>
      </c>
      <c r="G96" s="4"/>
      <c r="H96" s="4"/>
      <c r="I96" s="1162"/>
      <c r="J96" s="1478"/>
      <c r="K96" s="10"/>
      <c r="L96" s="1"/>
      <c r="M96" s="1163">
        <f>EN_NbTaurilA*AL96</f>
        <v>0</v>
      </c>
      <c r="N96" s="1163">
        <f>M96</f>
        <v>0</v>
      </c>
      <c r="O96" s="1"/>
      <c r="P96" s="1799"/>
      <c r="Q96" s="1799"/>
      <c r="R96" s="1799"/>
      <c r="S96" s="1799"/>
      <c r="T96" s="1799"/>
      <c r="U96" s="1799"/>
      <c r="V96" s="1799"/>
      <c r="W96" s="1799"/>
      <c r="X96" s="1799"/>
      <c r="Y96" s="1799"/>
      <c r="Z96" s="1799"/>
      <c r="AK96" s="746" t="str">
        <f>ADDRESS(ROW(N96),COLUMN(N96))</f>
        <v>$N$96</v>
      </c>
      <c r="AL96" s="771">
        <f>IF(EN_FormTauri=1,AU96,IF(EN_FormTauri=2,AV96,IF(EN_FormTauri=3,AW96,0)))</f>
        <v>0.65</v>
      </c>
      <c r="AM96" s="744" t="s">
        <v>950</v>
      </c>
      <c r="AN96" s="743"/>
      <c r="AO96" s="743"/>
      <c r="AP96" s="743"/>
      <c r="AQ96" s="743"/>
      <c r="AR96" s="743"/>
      <c r="AS96" s="743"/>
      <c r="AT96" s="743"/>
      <c r="AU96" s="764">
        <f>Paramètres!E53</f>
        <v>0.65</v>
      </c>
      <c r="AV96" s="764">
        <f>Paramètres!F53</f>
        <v>0.7</v>
      </c>
      <c r="AW96" s="765">
        <f>Paramètres!G53</f>
        <v>0.75</v>
      </c>
      <c r="AY96" s="1567" t="s">
        <v>1400</v>
      </c>
      <c r="AZ96" s="1568">
        <f>BB96</f>
        <v>0</v>
      </c>
      <c r="BB96" s="1568">
        <f>I96*EN_NbTaurilA</f>
        <v>0</v>
      </c>
      <c r="BD96" s="1568">
        <f>BF96</f>
        <v>0</v>
      </c>
      <c r="BF96" s="1568">
        <f>0.928*BB96</f>
        <v>0</v>
      </c>
    </row>
    <row r="97" spans="1:67" ht="18.75" customHeight="1" x14ac:dyDescent="0.2">
      <c r="A97" s="1245"/>
      <c r="B97" s="1471" t="s">
        <v>1240</v>
      </c>
      <c r="C97" s="4"/>
      <c r="D97" s="18"/>
      <c r="E97" s="20"/>
      <c r="F97" s="1383">
        <f>D97</f>
        <v>0</v>
      </c>
      <c r="G97" s="4"/>
      <c r="H97" s="1162"/>
      <c r="I97" s="4"/>
      <c r="J97" s="1478"/>
      <c r="K97" s="10"/>
      <c r="L97" s="1163">
        <f>EN_NbTaurilL*AL97</f>
        <v>0</v>
      </c>
      <c r="M97" s="1"/>
      <c r="N97" s="1163">
        <f>L97</f>
        <v>0</v>
      </c>
      <c r="O97" s="1"/>
      <c r="P97" s="1799"/>
      <c r="Q97" s="1799"/>
      <c r="R97" s="1799"/>
      <c r="S97" s="1799"/>
      <c r="T97" s="1799"/>
      <c r="U97" s="1799"/>
      <c r="V97" s="1799"/>
      <c r="W97" s="1799"/>
      <c r="X97" s="1799"/>
      <c r="Y97" s="1799"/>
      <c r="Z97" s="1799"/>
      <c r="AK97" s="752" t="str">
        <f>ADDRESS(ROW(N97),COLUMN(N97))</f>
        <v>$N$97</v>
      </c>
      <c r="AL97" s="764">
        <f>Paramètres!E55</f>
        <v>0.65</v>
      </c>
      <c r="AM97" s="740" t="s">
        <v>951</v>
      </c>
      <c r="AN97" s="739"/>
      <c r="AO97" s="739"/>
      <c r="AP97" s="740"/>
      <c r="AQ97" s="784"/>
      <c r="AR97" s="610"/>
      <c r="AS97" s="610"/>
      <c r="AT97" s="610"/>
      <c r="AY97" s="1567" t="s">
        <v>1401</v>
      </c>
      <c r="AZ97" s="1568">
        <f>BA97</f>
        <v>0</v>
      </c>
      <c r="BA97" s="1568">
        <f>H97*EN_NbTaurilL</f>
        <v>0</v>
      </c>
      <c r="BD97" s="1568">
        <f>BE97</f>
        <v>0</v>
      </c>
      <c r="BE97" s="1568">
        <f>0.922*BA97</f>
        <v>0</v>
      </c>
      <c r="BH97"/>
      <c r="BI97"/>
      <c r="BJ97"/>
    </row>
    <row r="98" spans="1:67" ht="3" customHeight="1" x14ac:dyDescent="0.2">
      <c r="A98" s="1245"/>
      <c r="B98" s="4"/>
      <c r="C98" s="4"/>
      <c r="D98" s="4"/>
      <c r="E98" s="4"/>
      <c r="F98" s="1"/>
      <c r="G98" s="1"/>
      <c r="H98" s="1"/>
      <c r="I98" s="1"/>
      <c r="J98" s="1478"/>
      <c r="K98" s="10"/>
      <c r="L98" s="1"/>
      <c r="M98" s="1"/>
      <c r="N98" s="1"/>
      <c r="O98" s="1"/>
      <c r="P98" s="1799"/>
      <c r="Q98" s="1799"/>
      <c r="R98" s="1799"/>
      <c r="S98" s="1799"/>
      <c r="T98" s="1799"/>
      <c r="U98" s="1799"/>
      <c r="V98" s="1799"/>
      <c r="W98" s="1799"/>
      <c r="X98" s="1799"/>
      <c r="Y98" s="1799"/>
      <c r="Z98" s="1799"/>
      <c r="AA98" s="573"/>
      <c r="AK98"/>
      <c r="AL98" s="792"/>
    </row>
    <row r="99" spans="1:67" ht="18.75" customHeight="1" x14ac:dyDescent="0.2">
      <c r="A99" s="1245"/>
      <c r="B99" s="7" t="s">
        <v>320</v>
      </c>
      <c r="C99" s="4"/>
      <c r="D99" s="1478"/>
      <c r="E99" s="1587"/>
      <c r="F99" s="10"/>
      <c r="G99" s="10"/>
      <c r="H99" s="10"/>
      <c r="I99" s="10"/>
      <c r="J99" s="1"/>
      <c r="K99" s="1"/>
      <c r="L99" s="1562"/>
      <c r="M99" s="1249"/>
      <c r="N99" s="1"/>
      <c r="O99" s="1"/>
      <c r="P99" s="1799"/>
      <c r="Q99" s="1799"/>
      <c r="R99" s="1799"/>
      <c r="S99" s="1799"/>
      <c r="T99" s="1799"/>
      <c r="U99" s="1799"/>
      <c r="V99" s="1799"/>
      <c r="W99" s="1799"/>
      <c r="X99" s="1799"/>
      <c r="Y99" s="1799"/>
      <c r="Z99" s="1799"/>
      <c r="AA99" s="573"/>
      <c r="AK99"/>
      <c r="AL99" s="792"/>
    </row>
    <row r="100" spans="1:67" ht="18.75" customHeight="1" x14ac:dyDescent="0.2">
      <c r="A100" s="1245"/>
      <c r="B100" s="7"/>
      <c r="C100" s="4"/>
      <c r="D100" s="1633" t="s">
        <v>2034</v>
      </c>
      <c r="E100" s="1"/>
      <c r="F100" s="1"/>
      <c r="G100" s="1"/>
      <c r="H100" s="1"/>
      <c r="I100" s="1580" t="s">
        <v>1300</v>
      </c>
      <c r="J100" s="1"/>
      <c r="K100" s="1"/>
      <c r="L100" s="1571"/>
      <c r="M100" s="1249"/>
      <c r="N100" s="1"/>
      <c r="O100" s="1"/>
      <c r="P100" s="1799"/>
      <c r="Q100" s="1799"/>
      <c r="R100" s="1799"/>
      <c r="S100" s="1799"/>
      <c r="T100" s="1799"/>
      <c r="U100" s="1799"/>
      <c r="V100" s="1799"/>
      <c r="W100" s="1799"/>
      <c r="X100" s="1799"/>
      <c r="Y100" s="1799"/>
      <c r="Z100" s="1799"/>
      <c r="AA100" s="573"/>
      <c r="AK100"/>
      <c r="AL100" s="792"/>
    </row>
    <row r="101" spans="1:67" ht="18.75" customHeight="1" x14ac:dyDescent="0.2">
      <c r="A101" s="1245"/>
      <c r="B101" s="7"/>
      <c r="C101" s="4"/>
      <c r="D101" s="13"/>
      <c r="E101" s="1"/>
      <c r="F101" s="1"/>
      <c r="G101" s="1"/>
      <c r="H101" s="1627"/>
      <c r="I101" s="1626"/>
      <c r="J101" s="1"/>
      <c r="K101" s="1"/>
      <c r="L101" s="1595"/>
      <c r="M101" s="1249"/>
      <c r="N101" s="1"/>
      <c r="O101" s="1"/>
      <c r="P101" s="1799"/>
      <c r="Q101" s="1799"/>
      <c r="R101" s="1799"/>
      <c r="S101" s="1799"/>
      <c r="T101" s="1799"/>
      <c r="U101" s="1799"/>
      <c r="V101" s="1799"/>
      <c r="W101" s="1799"/>
      <c r="X101" s="1799"/>
      <c r="Y101" s="1799"/>
      <c r="Z101" s="1799"/>
      <c r="AA101" s="573"/>
      <c r="AK101"/>
      <c r="AL101" s="792"/>
      <c r="AZ101" s="2984" t="s">
        <v>1508</v>
      </c>
      <c r="BA101" s="2984"/>
      <c r="BB101" s="2984"/>
      <c r="BD101" s="2984" t="s">
        <v>1402</v>
      </c>
      <c r="BE101" s="2984"/>
      <c r="BF101" s="2984"/>
      <c r="BH101"/>
      <c r="BI101"/>
      <c r="BJ101"/>
    </row>
    <row r="102" spans="1:67" ht="18.75" customHeight="1" x14ac:dyDescent="0.2">
      <c r="A102" s="1245"/>
      <c r="B102" s="4"/>
      <c r="C102" s="1476" t="s">
        <v>1337</v>
      </c>
      <c r="D102" s="1478" t="s">
        <v>1320</v>
      </c>
      <c r="E102" s="1587" t="s">
        <v>123</v>
      </c>
      <c r="F102" s="1478" t="s">
        <v>244</v>
      </c>
      <c r="G102" s="4"/>
      <c r="H102" s="1627"/>
      <c r="I102" s="1717" t="s">
        <v>1506</v>
      </c>
      <c r="J102" s="4"/>
      <c r="K102" s="4"/>
      <c r="L102" s="1476" t="s">
        <v>1320</v>
      </c>
      <c r="M102" s="1633" t="s">
        <v>123</v>
      </c>
      <c r="N102" s="1476" t="s">
        <v>244</v>
      </c>
      <c r="O102" s="1"/>
      <c r="P102" s="1799"/>
      <c r="Q102" s="1799"/>
      <c r="R102" s="1799"/>
      <c r="S102" s="1799"/>
      <c r="T102" s="1799"/>
      <c r="U102" s="1799"/>
      <c r="V102" s="1799"/>
      <c r="W102" s="1799"/>
      <c r="X102" s="1799"/>
      <c r="Y102" s="1799"/>
      <c r="Z102" s="1799"/>
      <c r="AA102" s="746" t="str">
        <f>ADDRESS(ROW(E100),COLUMN(E100))</f>
        <v>$E$100</v>
      </c>
      <c r="AB102" s="745" t="s">
        <v>472</v>
      </c>
      <c r="AC102" s="742"/>
      <c r="AD102" s="748" t="s">
        <v>322</v>
      </c>
      <c r="AE102" s="743"/>
      <c r="AF102" s="743"/>
      <c r="AG102" s="743"/>
      <c r="AH102" s="743"/>
      <c r="AI102" s="744"/>
      <c r="AK102" s="797"/>
      <c r="AL102" s="798"/>
      <c r="AM102" s="737"/>
      <c r="AN102" s="737"/>
      <c r="AO102" s="737"/>
      <c r="AP102" s="737"/>
      <c r="AQ102" s="774" t="s">
        <v>575</v>
      </c>
      <c r="AR102" s="774" t="s">
        <v>576</v>
      </c>
      <c r="AS102" s="773" t="s">
        <v>577</v>
      </c>
      <c r="AY102"/>
      <c r="AZ102" s="1567" t="s">
        <v>244</v>
      </c>
      <c r="BA102" s="1662" t="s">
        <v>1320</v>
      </c>
      <c r="BB102" s="1662" t="s">
        <v>123</v>
      </c>
      <c r="BC102"/>
      <c r="BD102" s="1567" t="s">
        <v>244</v>
      </c>
      <c r="BE102" s="1662" t="s">
        <v>1320</v>
      </c>
      <c r="BF102" s="1662" t="s">
        <v>123</v>
      </c>
      <c r="BG102"/>
      <c r="BH102"/>
      <c r="BI102"/>
      <c r="BJ102"/>
    </row>
    <row r="103" spans="1:67" ht="18.75" customHeight="1" x14ac:dyDescent="0.2">
      <c r="A103" s="1245"/>
      <c r="B103" s="7" t="s">
        <v>321</v>
      </c>
      <c r="C103" s="4"/>
      <c r="D103" s="18"/>
      <c r="E103" s="18"/>
      <c r="F103" s="1383">
        <f>D103+E103</f>
        <v>0</v>
      </c>
      <c r="G103" s="4"/>
      <c r="H103" s="1627"/>
      <c r="I103" s="1717" t="s">
        <v>1525</v>
      </c>
      <c r="J103" s="1"/>
      <c r="K103" s="1476"/>
      <c r="L103" s="1163">
        <f>D103*AR103</f>
        <v>0</v>
      </c>
      <c r="M103" s="1163">
        <f>(E103-0.75*EN_RepouFem)*AL103</f>
        <v>0</v>
      </c>
      <c r="N103" s="1163">
        <f>L103+M103</f>
        <v>0</v>
      </c>
      <c r="O103" s="1"/>
      <c r="P103" s="1799"/>
      <c r="Q103" s="1799"/>
      <c r="R103" s="1799"/>
      <c r="S103" s="1799"/>
      <c r="T103" s="1799"/>
      <c r="U103" s="1799"/>
      <c r="V103" s="1799"/>
      <c r="W103" s="1799"/>
      <c r="X103" s="1799"/>
      <c r="Y103" s="1799"/>
      <c r="Z103" s="1799"/>
      <c r="AA103" s="573"/>
      <c r="AK103" s="751" t="str">
        <f>ADDRESS(ROW(N103),COLUMN(N103))</f>
        <v>$N$103</v>
      </c>
      <c r="AL103" s="795">
        <f>IF(EN_FormGen=1,AQ103,IF(EN_FormGen=2,AR103,IF(EN_FormGen=3,AS103,0)))</f>
        <v>0</v>
      </c>
      <c r="AM103" s="783" t="s">
        <v>952</v>
      </c>
      <c r="AN103" s="610"/>
      <c r="AO103" s="610"/>
      <c r="AP103" s="610"/>
      <c r="AQ103" s="766">
        <f>Paramètres!E58</f>
        <v>0.7</v>
      </c>
      <c r="AR103" s="766">
        <f>Paramètres!F58</f>
        <v>0.75</v>
      </c>
      <c r="AS103" s="767">
        <f>Paramètres!G58</f>
        <v>0.8</v>
      </c>
      <c r="AY103" s="1780" t="s">
        <v>1718</v>
      </c>
      <c r="AZ103" s="1568">
        <f>BB103</f>
        <v>0</v>
      </c>
      <c r="BB103" s="1568">
        <f>EN_RepouFem*EN_PdsRepouFem</f>
        <v>0</v>
      </c>
      <c r="BC103"/>
      <c r="BD103" s="1568">
        <f>BF103</f>
        <v>0</v>
      </c>
      <c r="BE103"/>
      <c r="BF103" s="1568">
        <f>0.88*BB103</f>
        <v>0</v>
      </c>
      <c r="BG103"/>
      <c r="BH103"/>
      <c r="BI103"/>
      <c r="BJ103"/>
    </row>
    <row r="104" spans="1:67" ht="18.75" customHeight="1" x14ac:dyDescent="0.2">
      <c r="A104" s="1245"/>
      <c r="B104" s="1687" t="s">
        <v>1549</v>
      </c>
      <c r="C104" s="1"/>
      <c r="D104" s="1"/>
      <c r="E104" s="18"/>
      <c r="F104" s="1"/>
      <c r="G104" s="4"/>
      <c r="H104" s="4"/>
      <c r="I104" s="1162"/>
      <c r="J104" s="4"/>
      <c r="K104" s="4"/>
      <c r="L104" s="4"/>
      <c r="M104" s="4"/>
      <c r="N104" s="4"/>
      <c r="O104" s="4"/>
      <c r="P104" s="1799"/>
      <c r="Q104" s="1799"/>
      <c r="R104" s="1799"/>
      <c r="S104" s="1799"/>
      <c r="T104" s="1799"/>
      <c r="U104" s="1799"/>
      <c r="V104" s="1799"/>
      <c r="W104" s="1799"/>
      <c r="X104" s="1799"/>
      <c r="Y104" s="1799"/>
      <c r="Z104" s="1799"/>
      <c r="AA104" s="573"/>
      <c r="AY104"/>
      <c r="AZ104"/>
      <c r="BA104"/>
      <c r="BB104"/>
      <c r="BC104"/>
      <c r="BD104"/>
      <c r="BE104"/>
      <c r="BF104"/>
      <c r="BG104"/>
      <c r="BH104"/>
      <c r="BI104"/>
      <c r="BJ104"/>
    </row>
    <row r="105" spans="1:67" ht="18.75" customHeight="1" x14ac:dyDescent="0.2">
      <c r="A105" s="1245"/>
      <c r="B105" s="7"/>
      <c r="C105" s="4"/>
      <c r="D105" s="4"/>
      <c r="E105" s="4"/>
      <c r="F105" s="4"/>
      <c r="G105" s="4"/>
      <c r="H105" s="1627" t="s">
        <v>1249</v>
      </c>
      <c r="I105" s="1626"/>
      <c r="J105" s="4"/>
      <c r="K105" s="4"/>
      <c r="L105" s="4"/>
      <c r="M105" s="4"/>
      <c r="N105" s="4"/>
      <c r="O105" s="1"/>
      <c r="P105" s="1799"/>
      <c r="Q105" s="1799"/>
      <c r="R105" s="1799"/>
      <c r="S105" s="1799"/>
      <c r="T105" s="1799"/>
      <c r="U105" s="1799"/>
      <c r="V105" s="1799"/>
      <c r="W105" s="1799"/>
      <c r="X105" s="1799"/>
      <c r="Y105" s="1799"/>
      <c r="Z105" s="1799"/>
      <c r="AA105" s="573"/>
      <c r="AK105"/>
      <c r="AL105"/>
      <c r="AM105"/>
      <c r="AN105"/>
      <c r="AO105"/>
      <c r="AP105"/>
      <c r="AQ105"/>
      <c r="AR105"/>
      <c r="AS105"/>
      <c r="AT105"/>
      <c r="AU105"/>
      <c r="AV105"/>
      <c r="AY105"/>
      <c r="AZ105" s="2984" t="s">
        <v>541</v>
      </c>
      <c r="BA105" s="2984"/>
      <c r="BB105" s="2984"/>
      <c r="BD105" s="2984" t="s">
        <v>1402</v>
      </c>
      <c r="BE105" s="2984"/>
      <c r="BF105" s="2984"/>
      <c r="BH105" s="3006" t="s">
        <v>1363</v>
      </c>
      <c r="BI105" s="3006"/>
      <c r="BJ105" s="3006"/>
    </row>
    <row r="106" spans="1:67" ht="18.75" customHeight="1" x14ac:dyDescent="0.2">
      <c r="A106" s="1245"/>
      <c r="B106" s="1471" t="s">
        <v>1282</v>
      </c>
      <c r="C106" s="4"/>
      <c r="D106" s="1478" t="s">
        <v>1320</v>
      </c>
      <c r="E106" s="1587" t="s">
        <v>123</v>
      </c>
      <c r="F106" s="1478" t="s">
        <v>244</v>
      </c>
      <c r="G106" s="4"/>
      <c r="H106" s="1478" t="s">
        <v>1320</v>
      </c>
      <c r="I106" s="1597" t="s">
        <v>123</v>
      </c>
      <c r="J106" s="1"/>
      <c r="K106" s="1"/>
      <c r="L106" s="1476" t="s">
        <v>1320</v>
      </c>
      <c r="M106" s="1633" t="s">
        <v>123</v>
      </c>
      <c r="N106" s="1476" t="s">
        <v>244</v>
      </c>
      <c r="O106" s="1"/>
      <c r="P106" s="1799"/>
      <c r="Q106" s="1799"/>
      <c r="R106" s="1799"/>
      <c r="S106" s="1799"/>
      <c r="T106" s="1799"/>
      <c r="U106" s="1799"/>
      <c r="V106" s="1799"/>
      <c r="W106" s="1799"/>
      <c r="X106" s="1799"/>
      <c r="Y106" s="1799"/>
      <c r="Z106" s="1799"/>
      <c r="AA106" s="573"/>
      <c r="AC106"/>
      <c r="AD106"/>
      <c r="AK106" s="604"/>
      <c r="AL106" s="793"/>
      <c r="AM106" s="610"/>
      <c r="AN106" s="610"/>
      <c r="AO106" s="610"/>
      <c r="AP106" s="610"/>
      <c r="AQ106" s="611"/>
      <c r="AR106" s="611"/>
      <c r="AS106" s="612"/>
      <c r="AZ106" s="1567" t="s">
        <v>244</v>
      </c>
      <c r="BA106" s="1662" t="s">
        <v>1320</v>
      </c>
      <c r="BB106" s="1662" t="s">
        <v>123</v>
      </c>
      <c r="BD106" s="1567" t="s">
        <v>244</v>
      </c>
      <c r="BE106" s="1662" t="s">
        <v>1320</v>
      </c>
      <c r="BF106" s="1662" t="s">
        <v>123</v>
      </c>
      <c r="BH106" s="1567" t="s">
        <v>244</v>
      </c>
      <c r="BI106" s="1567" t="s">
        <v>1320</v>
      </c>
      <c r="BJ106" s="1567" t="s">
        <v>123</v>
      </c>
    </row>
    <row r="107" spans="1:67" ht="18.75" customHeight="1" x14ac:dyDescent="0.2">
      <c r="A107" s="1245"/>
      <c r="B107" s="7"/>
      <c r="C107" s="1524" t="s">
        <v>1246</v>
      </c>
      <c r="D107" s="18"/>
      <c r="E107" s="18"/>
      <c r="F107" s="1383">
        <f>D107+E107</f>
        <v>0</v>
      </c>
      <c r="G107" s="4"/>
      <c r="H107" s="1162"/>
      <c r="I107" s="1162"/>
      <c r="J107" s="1"/>
      <c r="K107" s="1"/>
      <c r="L107" s="1163">
        <f>D107*AR107</f>
        <v>0</v>
      </c>
      <c r="M107" s="1163">
        <f>E107*AL107</f>
        <v>0</v>
      </c>
      <c r="N107" s="1163">
        <f>L107+M107</f>
        <v>0</v>
      </c>
      <c r="O107" s="1"/>
      <c r="P107" s="1799"/>
      <c r="Q107" s="1799"/>
      <c r="R107" s="1799"/>
      <c r="S107" s="1799"/>
      <c r="T107" s="1799"/>
      <c r="U107" s="1799"/>
      <c r="V107" s="1799"/>
      <c r="W107" s="1799"/>
      <c r="X107" s="1799"/>
      <c r="Y107" s="1799"/>
      <c r="Z107" s="1799"/>
      <c r="AK107" s="751" t="str">
        <f>ADDRESS(ROW(N107),COLUMN(N107))</f>
        <v>$N$107</v>
      </c>
      <c r="AL107" s="795">
        <f>IF(EN_FormGen=1,AQ107,IF(EN_FormGen=2,AR107,IF(EN_FormGen=3,AS107,0)))</f>
        <v>0</v>
      </c>
      <c r="AM107" s="783" t="s">
        <v>953</v>
      </c>
      <c r="AN107" s="610"/>
      <c r="AO107" s="610"/>
      <c r="AP107" s="610"/>
      <c r="AQ107" s="766">
        <f>Paramètres!E60</f>
        <v>0.4</v>
      </c>
      <c r="AR107" s="766">
        <f>Paramètres!F60</f>
        <v>0.4</v>
      </c>
      <c r="AS107" s="767">
        <f>Paramètres!G60</f>
        <v>0.42499999999999999</v>
      </c>
      <c r="AY107" s="1567" t="s">
        <v>1395</v>
      </c>
      <c r="AZ107" s="1568">
        <f>BA107+BB107</f>
        <v>0</v>
      </c>
      <c r="BA107" s="1568">
        <f t="shared" ref="BA107:BB109" si="4">H107*D107</f>
        <v>0</v>
      </c>
      <c r="BB107" s="1568">
        <f t="shared" si="4"/>
        <v>0</v>
      </c>
      <c r="BD107" s="1568">
        <f>BE107+BF107</f>
        <v>0</v>
      </c>
      <c r="BE107" s="1568">
        <f t="shared" ref="BE107:BF109" si="5">BN107*BA107</f>
        <v>0</v>
      </c>
      <c r="BF107" s="1568">
        <f t="shared" si="5"/>
        <v>0</v>
      </c>
      <c r="BH107" s="1428">
        <f>BI107+BJ107</f>
        <v>0</v>
      </c>
      <c r="BI107" s="1428">
        <f t="shared" ref="BI107:BJ109" si="6">IF(D107*H107=0,0,D107)</f>
        <v>0</v>
      </c>
      <c r="BJ107" s="1428">
        <f t="shared" si="6"/>
        <v>0</v>
      </c>
      <c r="BL107" s="1733">
        <v>620</v>
      </c>
      <c r="BM107" s="1733">
        <v>620</v>
      </c>
      <c r="BN107" s="1734">
        <f t="shared" ref="BN107:BO109" si="7">1-40/BL107</f>
        <v>0.93548387096774199</v>
      </c>
      <c r="BO107" s="1734">
        <f t="shared" si="7"/>
        <v>0.93548387096774199</v>
      </c>
    </row>
    <row r="108" spans="1:67" ht="18.75" customHeight="1" x14ac:dyDescent="0.2">
      <c r="A108" s="1245"/>
      <c r="B108" s="7"/>
      <c r="C108" s="1524" t="s">
        <v>1247</v>
      </c>
      <c r="D108" s="18"/>
      <c r="E108" s="18"/>
      <c r="F108" s="1383">
        <f>D108+E108</f>
        <v>0</v>
      </c>
      <c r="G108" s="4"/>
      <c r="H108" s="1162"/>
      <c r="I108" s="1162"/>
      <c r="J108" s="1"/>
      <c r="K108" s="1"/>
      <c r="L108" s="1163">
        <f>D108*AR108</f>
        <v>0</v>
      </c>
      <c r="M108" s="1163">
        <f>E108*AL108</f>
        <v>0</v>
      </c>
      <c r="N108" s="1163">
        <f>L108+M108</f>
        <v>0</v>
      </c>
      <c r="O108" s="1"/>
      <c r="P108" s="1799"/>
      <c r="Q108" s="1799"/>
      <c r="R108" s="1799"/>
      <c r="S108" s="1799"/>
      <c r="T108" s="1799"/>
      <c r="U108" s="1799"/>
      <c r="V108" s="1799"/>
      <c r="W108" s="1799"/>
      <c r="X108" s="1799"/>
      <c r="Y108" s="1799"/>
      <c r="Z108" s="1799"/>
      <c r="AA108" s="573"/>
      <c r="AF108"/>
      <c r="AG108"/>
      <c r="AK108" s="751" t="str">
        <f>ADDRESS(ROW(N108),COLUMN(N108))</f>
        <v>$N$108</v>
      </c>
      <c r="AL108" s="795">
        <f>IF(EN_FormGen=1,AQ108,IF(EN_FormGen=2,AR108,IF(EN_FormGen=3,AS108,0)))</f>
        <v>0</v>
      </c>
      <c r="AM108" s="783" t="s">
        <v>954</v>
      </c>
      <c r="AN108" s="610"/>
      <c r="AO108" s="610"/>
      <c r="AP108" s="610"/>
      <c r="AQ108" s="766">
        <f>Paramètres!E61</f>
        <v>0.60000000000000009</v>
      </c>
      <c r="AR108" s="766">
        <f>Paramètres!F61</f>
        <v>0.60000000000000009</v>
      </c>
      <c r="AS108" s="767">
        <f>Paramètres!G61</f>
        <v>0.63749999999999996</v>
      </c>
      <c r="AY108" s="1567" t="s">
        <v>1396</v>
      </c>
      <c r="AZ108" s="1568">
        <f>BA108+BB108</f>
        <v>0</v>
      </c>
      <c r="BA108" s="1568">
        <f t="shared" si="4"/>
        <v>0</v>
      </c>
      <c r="BB108" s="1568">
        <f t="shared" si="4"/>
        <v>0</v>
      </c>
      <c r="BD108" s="1568">
        <f>BE108+BF108</f>
        <v>0</v>
      </c>
      <c r="BE108" s="1568">
        <f t="shared" si="5"/>
        <v>0</v>
      </c>
      <c r="BF108" s="1568">
        <f t="shared" si="5"/>
        <v>0</v>
      </c>
      <c r="BH108" s="1428">
        <f>BI108+BJ108</f>
        <v>0</v>
      </c>
      <c r="BI108" s="1428">
        <f t="shared" si="6"/>
        <v>0</v>
      </c>
      <c r="BJ108" s="1428">
        <f t="shared" si="6"/>
        <v>0</v>
      </c>
      <c r="BL108" s="1733">
        <v>635</v>
      </c>
      <c r="BM108" s="1733">
        <v>635</v>
      </c>
      <c r="BN108" s="1734">
        <f t="shared" si="7"/>
        <v>0.93700787401574803</v>
      </c>
      <c r="BO108" s="1734">
        <f t="shared" si="7"/>
        <v>0.93700787401574803</v>
      </c>
    </row>
    <row r="109" spans="1:67" ht="18.75" customHeight="1" x14ac:dyDescent="0.2">
      <c r="A109" s="1245"/>
      <c r="B109" s="7"/>
      <c r="C109" s="1524" t="s">
        <v>1248</v>
      </c>
      <c r="D109" s="18"/>
      <c r="E109" s="18"/>
      <c r="F109" s="1383">
        <f>D109+E109</f>
        <v>0</v>
      </c>
      <c r="G109" s="4"/>
      <c r="H109" s="1162"/>
      <c r="I109" s="1162"/>
      <c r="J109" s="1"/>
      <c r="K109" s="1"/>
      <c r="L109" s="1163">
        <f>D109*AR109</f>
        <v>0</v>
      </c>
      <c r="M109" s="1163">
        <f>E109*AL109</f>
        <v>0</v>
      </c>
      <c r="N109" s="1163">
        <f>L109+M109</f>
        <v>0</v>
      </c>
      <c r="O109" s="1"/>
      <c r="P109" s="1799"/>
      <c r="Q109" s="1799"/>
      <c r="R109" s="1799"/>
      <c r="S109" s="1799"/>
      <c r="T109" s="1799"/>
      <c r="U109" s="1799"/>
      <c r="V109" s="1799"/>
      <c r="W109" s="1799"/>
      <c r="X109" s="1799"/>
      <c r="Y109" s="1799"/>
      <c r="Z109" s="1799"/>
      <c r="AA109" s="573"/>
      <c r="AF109"/>
      <c r="AG109"/>
      <c r="AK109" s="752" t="str">
        <f>ADDRESS(ROW(N109),COLUMN(N109))</f>
        <v>$N$109</v>
      </c>
      <c r="AL109" s="768">
        <f>IF(EN_FormGen=1,AQ109,IF(EN_FormGen=2,AR109,IF(EN_FormGen=3,AS109,0)))</f>
        <v>0</v>
      </c>
      <c r="AM109" s="740" t="s">
        <v>955</v>
      </c>
      <c r="AN109" s="739"/>
      <c r="AO109" s="739"/>
      <c r="AP109" s="739"/>
      <c r="AQ109" s="764">
        <f>Paramètres!E62</f>
        <v>0.8</v>
      </c>
      <c r="AR109" s="764">
        <f>Paramètres!F62</f>
        <v>0.8</v>
      </c>
      <c r="AS109" s="765">
        <f>Paramètres!G62</f>
        <v>0.85</v>
      </c>
      <c r="AY109" s="1567" t="s">
        <v>1397</v>
      </c>
      <c r="AZ109" s="1568">
        <f>BA109+BB109</f>
        <v>0</v>
      </c>
      <c r="BA109" s="1568">
        <f t="shared" si="4"/>
        <v>0</v>
      </c>
      <c r="BB109" s="1568">
        <f t="shared" si="4"/>
        <v>0</v>
      </c>
      <c r="BD109" s="1568">
        <f>BE109+BF109</f>
        <v>0</v>
      </c>
      <c r="BE109" s="1568">
        <f t="shared" si="5"/>
        <v>0</v>
      </c>
      <c r="BF109" s="1568">
        <f t="shared" si="5"/>
        <v>0</v>
      </c>
      <c r="BH109" s="1428">
        <f>BI109+BJ109</f>
        <v>0</v>
      </c>
      <c r="BI109" s="1428">
        <f t="shared" si="6"/>
        <v>0</v>
      </c>
      <c r="BJ109" s="1428">
        <f t="shared" si="6"/>
        <v>0</v>
      </c>
      <c r="BL109" s="1733">
        <v>650</v>
      </c>
      <c r="BM109" s="1733">
        <v>650</v>
      </c>
      <c r="BN109" s="1734">
        <f t="shared" si="7"/>
        <v>0.93846153846153846</v>
      </c>
      <c r="BO109" s="1734">
        <f t="shared" si="7"/>
        <v>0.93846153846153846</v>
      </c>
    </row>
    <row r="110" spans="1:67" ht="18.75" customHeight="1" x14ac:dyDescent="0.2">
      <c r="A110" s="1799"/>
      <c r="B110" s="1799"/>
      <c r="C110" s="1799"/>
      <c r="D110" s="1799"/>
      <c r="E110" s="1799"/>
      <c r="F110" s="1799"/>
      <c r="G110" s="1799"/>
      <c r="H110" s="1627" t="s">
        <v>1249</v>
      </c>
      <c r="I110" s="1799"/>
      <c r="J110" s="1799"/>
      <c r="K110" s="1799"/>
      <c r="L110" s="1799"/>
      <c r="M110" s="1799"/>
      <c r="N110" s="1799"/>
      <c r="O110" s="1799"/>
      <c r="P110" s="1799"/>
      <c r="Q110" s="1799"/>
      <c r="R110" s="1799"/>
      <c r="S110" s="1799"/>
      <c r="T110" s="1799"/>
      <c r="U110" s="1799"/>
      <c r="V110" s="1799"/>
      <c r="W110" s="1799"/>
      <c r="X110" s="1799"/>
      <c r="Y110" s="1799"/>
      <c r="Z110" s="1799"/>
      <c r="AA110" s="573"/>
      <c r="AK110"/>
      <c r="AL110" s="792"/>
      <c r="AZ110" s="2984" t="s">
        <v>541</v>
      </c>
      <c r="BA110" s="2984"/>
      <c r="BB110" s="2984"/>
      <c r="BD110" s="2984" t="s">
        <v>1402</v>
      </c>
      <c r="BE110" s="2984"/>
      <c r="BF110" s="2984"/>
      <c r="BL110"/>
      <c r="BM110"/>
      <c r="BN110"/>
      <c r="BO110"/>
    </row>
    <row r="111" spans="1:67" ht="18.75" customHeight="1" x14ac:dyDescent="0.2">
      <c r="A111" s="1245"/>
      <c r="B111" s="4"/>
      <c r="C111" s="4"/>
      <c r="D111" s="1478" t="s">
        <v>1320</v>
      </c>
      <c r="E111" s="2138" t="s">
        <v>123</v>
      </c>
      <c r="F111" s="1478" t="s">
        <v>244</v>
      </c>
      <c r="G111" s="4"/>
      <c r="H111" s="1478" t="s">
        <v>1320</v>
      </c>
      <c r="I111" s="2138" t="s">
        <v>123</v>
      </c>
      <c r="J111" s="1427"/>
      <c r="K111" s="1"/>
      <c r="L111" s="1"/>
      <c r="M111" s="1"/>
      <c r="N111" s="5"/>
      <c r="O111" s="1"/>
      <c r="P111" s="1799"/>
      <c r="Q111" s="1799"/>
      <c r="R111" s="1799"/>
      <c r="S111" s="1799"/>
      <c r="T111" s="1799"/>
      <c r="U111" s="1799"/>
      <c r="V111" s="1799"/>
      <c r="W111" s="1799"/>
      <c r="X111" s="1799"/>
      <c r="Y111" s="1799"/>
      <c r="Z111" s="1799"/>
      <c r="AA111" s="573"/>
      <c r="AK111"/>
      <c r="AL111" s="792"/>
      <c r="AY111" s="1662" t="s">
        <v>2298</v>
      </c>
      <c r="AZ111" s="1567" t="s">
        <v>244</v>
      </c>
      <c r="BA111" s="1662" t="s">
        <v>1320</v>
      </c>
      <c r="BB111" s="1662" t="s">
        <v>123</v>
      </c>
      <c r="BD111" s="1567" t="s">
        <v>244</v>
      </c>
      <c r="BE111" s="1662" t="s">
        <v>1320</v>
      </c>
      <c r="BF111" s="1662" t="s">
        <v>123</v>
      </c>
      <c r="BL111"/>
      <c r="BM111"/>
      <c r="BN111"/>
      <c r="BO111"/>
    </row>
    <row r="112" spans="1:67" ht="24" customHeight="1" x14ac:dyDescent="0.2">
      <c r="A112" s="1245"/>
      <c r="B112" s="2981" t="s">
        <v>2299</v>
      </c>
      <c r="C112" s="2983"/>
      <c r="D112" s="18"/>
      <c r="E112" s="18"/>
      <c r="F112" s="1383">
        <f>D112+E112</f>
        <v>0</v>
      </c>
      <c r="G112" s="4"/>
      <c r="H112" s="1162"/>
      <c r="I112" s="1162"/>
      <c r="J112" s="1427"/>
      <c r="K112" s="1"/>
      <c r="L112" s="1"/>
      <c r="M112" s="1"/>
      <c r="N112" s="2136"/>
      <c r="O112" s="1"/>
      <c r="P112" s="1799"/>
      <c r="Q112" s="1799"/>
      <c r="R112" s="1799"/>
      <c r="S112" s="1799"/>
      <c r="T112" s="1799"/>
      <c r="U112" s="1799"/>
      <c r="V112" s="1799"/>
      <c r="W112" s="1799"/>
      <c r="X112" s="1799"/>
      <c r="Y112" s="1799"/>
      <c r="Z112" s="1799"/>
      <c r="AA112" s="573"/>
      <c r="AK112"/>
      <c r="AL112" s="792"/>
      <c r="AZ112" s="1568">
        <f>BA112+BB112</f>
        <v>0</v>
      </c>
      <c r="BA112" s="1568">
        <f>H112*D112</f>
        <v>0</v>
      </c>
      <c r="BB112" s="1568">
        <f>I112*E112</f>
        <v>0</v>
      </c>
      <c r="BD112" s="1568">
        <f>BE112+BF112</f>
        <v>0</v>
      </c>
      <c r="BE112" s="1568">
        <f>0.92*BA112</f>
        <v>0</v>
      </c>
      <c r="BF112" s="1568">
        <f>0.92*BB112</f>
        <v>0</v>
      </c>
      <c r="BL112"/>
      <c r="BM112"/>
      <c r="BN112"/>
      <c r="BO112"/>
    </row>
    <row r="113" spans="1:67" ht="5.0999999999999996" customHeight="1" x14ac:dyDescent="0.2">
      <c r="A113" s="1245"/>
      <c r="B113" s="4"/>
      <c r="C113" s="4"/>
      <c r="D113" s="4"/>
      <c r="E113" s="4"/>
      <c r="F113" s="4"/>
      <c r="G113" s="4"/>
      <c r="H113" s="1"/>
      <c r="I113" s="1"/>
      <c r="J113" s="1"/>
      <c r="K113" s="1"/>
      <c r="L113" s="1"/>
      <c r="M113" s="1"/>
      <c r="N113" s="2136"/>
      <c r="O113" s="1"/>
      <c r="P113" s="1799"/>
      <c r="Q113" s="1799"/>
      <c r="R113" s="1799"/>
      <c r="S113" s="1799"/>
      <c r="T113" s="1799"/>
      <c r="U113" s="1799"/>
      <c r="V113" s="1799"/>
      <c r="W113" s="1799"/>
      <c r="X113" s="1799"/>
      <c r="Y113" s="1799"/>
      <c r="Z113" s="1799"/>
      <c r="AA113" s="573"/>
      <c r="AK113"/>
      <c r="AL113" s="792"/>
      <c r="BL113"/>
      <c r="BM113"/>
      <c r="BN113"/>
      <c r="BO113"/>
    </row>
    <row r="114" spans="1:67" ht="18.75" customHeight="1" x14ac:dyDescent="0.2">
      <c r="A114" s="1245"/>
      <c r="B114" s="4"/>
      <c r="C114" s="4"/>
      <c r="D114" s="4"/>
      <c r="E114" s="4"/>
      <c r="F114" s="4"/>
      <c r="G114" s="4"/>
      <c r="H114" s="4"/>
      <c r="I114" s="1"/>
      <c r="J114" s="3021" t="s">
        <v>2248</v>
      </c>
      <c r="K114" s="3022"/>
      <c r="L114" s="1"/>
      <c r="M114" s="567"/>
      <c r="N114" s="5"/>
      <c r="O114" s="1"/>
      <c r="P114" s="1799"/>
      <c r="Q114" s="1799"/>
      <c r="R114" s="1799"/>
      <c r="S114" s="1799"/>
      <c r="T114" s="1799"/>
      <c r="U114" s="1799"/>
      <c r="V114" s="1799"/>
      <c r="W114" s="1799"/>
      <c r="X114" s="1799"/>
      <c r="Y114" s="1799"/>
      <c r="Z114" s="1799"/>
      <c r="AA114" s="573"/>
      <c r="AK114"/>
      <c r="AL114" s="792"/>
    </row>
    <row r="115" spans="1:67" ht="18.75" customHeight="1" x14ac:dyDescent="0.2">
      <c r="A115" s="1245"/>
      <c r="B115" s="7"/>
      <c r="C115" s="4"/>
      <c r="D115" s="4"/>
      <c r="E115" s="4"/>
      <c r="F115" s="4"/>
      <c r="G115" s="4"/>
      <c r="H115" s="1627"/>
      <c r="I115" s="1431"/>
      <c r="J115" s="1630" t="s">
        <v>1783</v>
      </c>
      <c r="K115" s="1718" t="s">
        <v>1344</v>
      </c>
      <c r="L115" s="1"/>
      <c r="M115" s="567"/>
      <c r="N115" s="1595"/>
      <c r="O115" s="1"/>
      <c r="P115" s="1799"/>
      <c r="Q115" s="1799"/>
      <c r="R115" s="1799"/>
      <c r="S115" s="1799"/>
      <c r="T115" s="1799"/>
      <c r="U115" s="1799"/>
      <c r="V115" s="1799"/>
      <c r="W115" s="1799"/>
      <c r="X115" s="1799"/>
      <c r="Y115" s="1799"/>
      <c r="Z115" s="1799"/>
      <c r="AA115" s="573"/>
      <c r="AK115"/>
      <c r="AL115" s="792"/>
    </row>
    <row r="116" spans="1:67" ht="18.75" customHeight="1" x14ac:dyDescent="0.2">
      <c r="A116" s="1245"/>
      <c r="B116" s="7" t="s">
        <v>323</v>
      </c>
      <c r="C116" s="4"/>
      <c r="D116" s="1570" t="s">
        <v>1320</v>
      </c>
      <c r="E116" s="1616" t="s">
        <v>123</v>
      </c>
      <c r="F116" s="1570" t="s">
        <v>244</v>
      </c>
      <c r="G116" s="4"/>
      <c r="H116" s="1627"/>
      <c r="I116" s="1431" t="s">
        <v>1386</v>
      </c>
      <c r="J116" s="1630"/>
      <c r="K116" s="1718" t="s">
        <v>1782</v>
      </c>
      <c r="L116" s="1476" t="s">
        <v>1320</v>
      </c>
      <c r="M116" s="1633" t="s">
        <v>123</v>
      </c>
      <c r="N116" s="1476" t="s">
        <v>244</v>
      </c>
      <c r="O116" s="1"/>
      <c r="P116" s="1799"/>
      <c r="Q116" s="1799"/>
      <c r="R116" s="1799"/>
      <c r="S116" s="1799"/>
      <c r="T116" s="1799"/>
      <c r="U116" s="1799"/>
      <c r="V116" s="1799"/>
      <c r="W116" s="1799"/>
      <c r="X116" s="1799"/>
      <c r="Y116" s="1799"/>
      <c r="Z116" s="1799"/>
      <c r="AA116" s="573"/>
      <c r="AK116"/>
      <c r="AL116" s="792"/>
      <c r="AZ116" s="2984" t="s">
        <v>541</v>
      </c>
      <c r="BA116" s="2984"/>
      <c r="BB116" s="2984"/>
      <c r="BD116" s="2984" t="s">
        <v>1402</v>
      </c>
      <c r="BE116" s="2984"/>
      <c r="BF116" s="2984"/>
    </row>
    <row r="117" spans="1:67" ht="18.75" customHeight="1" x14ac:dyDescent="0.2">
      <c r="A117" s="1245"/>
      <c r="B117" s="7" t="s">
        <v>324</v>
      </c>
      <c r="C117" s="4"/>
      <c r="D117" s="4"/>
      <c r="E117" s="18">
        <v>5</v>
      </c>
      <c r="F117" s="1383">
        <f>E117</f>
        <v>5</v>
      </c>
      <c r="G117" s="4"/>
      <c r="H117" s="1"/>
      <c r="I117" s="1628">
        <v>645</v>
      </c>
      <c r="J117" s="1631">
        <v>3</v>
      </c>
      <c r="K117" s="1632">
        <v>3</v>
      </c>
      <c r="L117" s="1"/>
      <c r="M117" s="1163">
        <f>EN_NbVaRefA*AL117*EN_NbMoVaV/12</f>
        <v>1.25</v>
      </c>
      <c r="N117" s="1163">
        <f>M117</f>
        <v>1.25</v>
      </c>
      <c r="O117" s="1"/>
      <c r="P117" s="1799"/>
      <c r="Q117" s="1799"/>
      <c r="R117" s="1802"/>
      <c r="S117" s="1799"/>
      <c r="T117" s="1799"/>
      <c r="U117" s="1799"/>
      <c r="V117" s="1799"/>
      <c r="W117" s="1799"/>
      <c r="X117" s="1799"/>
      <c r="Y117" s="1799"/>
      <c r="Z117" s="1799"/>
      <c r="AA117" s="573"/>
      <c r="AK117" s="746" t="str">
        <f>ADDRESS(ROW(N117),COLUMN(N117))</f>
        <v>$N$117</v>
      </c>
      <c r="AL117" s="1160">
        <f>Paramètres!E65</f>
        <v>1</v>
      </c>
      <c r="AM117" s="744" t="s">
        <v>956</v>
      </c>
      <c r="AN117" s="743"/>
      <c r="AO117" s="743"/>
      <c r="AP117" s="744"/>
      <c r="AY117" s="1567" t="s">
        <v>1398</v>
      </c>
      <c r="AZ117" s="1568">
        <f>BB117</f>
        <v>3225</v>
      </c>
      <c r="BB117" s="1568">
        <f>I117*EN_NbVaRefA</f>
        <v>3225</v>
      </c>
      <c r="BD117" s="1568">
        <f>BF117</f>
        <v>483.75</v>
      </c>
      <c r="BF117" s="1568">
        <f>0.15*BB117</f>
        <v>483.75</v>
      </c>
    </row>
    <row r="118" spans="1:67" ht="18.75" customHeight="1" x14ac:dyDescent="0.2">
      <c r="A118" s="1245"/>
      <c r="B118" s="7" t="s">
        <v>325</v>
      </c>
      <c r="C118" s="4"/>
      <c r="D118" s="18">
        <v>14</v>
      </c>
      <c r="E118" s="1585"/>
      <c r="F118" s="1383">
        <f>D118</f>
        <v>14</v>
      </c>
      <c r="G118" s="4"/>
      <c r="H118" s="1162">
        <v>665</v>
      </c>
      <c r="I118" s="1245"/>
      <c r="J118" s="1631">
        <v>4</v>
      </c>
      <c r="K118" s="1632">
        <v>3</v>
      </c>
      <c r="L118" s="1629">
        <f>EN_NbVaRefLait*AL118*EN_NbMoVaL/12</f>
        <v>4.666666666666667</v>
      </c>
      <c r="M118" s="567"/>
      <c r="N118" s="1163">
        <f>L118</f>
        <v>4.666666666666667</v>
      </c>
      <c r="O118" s="1"/>
      <c r="P118" s="1799"/>
      <c r="Q118" s="1799"/>
      <c r="R118" s="1799"/>
      <c r="S118" s="1799"/>
      <c r="T118" s="1799"/>
      <c r="U118" s="1799"/>
      <c r="V118" s="1799"/>
      <c r="W118" s="1799"/>
      <c r="X118" s="1799"/>
      <c r="Y118" s="1799"/>
      <c r="Z118" s="1799"/>
      <c r="AA118" s="573"/>
      <c r="AK118" s="746" t="str">
        <f>ADDRESS(ROW(N118),COLUMN(N118))</f>
        <v>$N$118</v>
      </c>
      <c r="AL118" s="1160">
        <f>Paramètres!E66</f>
        <v>1</v>
      </c>
      <c r="AM118" s="744" t="s">
        <v>957</v>
      </c>
      <c r="AN118" s="743"/>
      <c r="AO118" s="743"/>
      <c r="AP118" s="744"/>
      <c r="AY118" s="1567" t="s">
        <v>1399</v>
      </c>
      <c r="AZ118" s="1568">
        <f>BA118</f>
        <v>9310</v>
      </c>
      <c r="BA118" s="1568">
        <f>H118*EN_NbVaRefLait</f>
        <v>9310</v>
      </c>
      <c r="BD118" s="1568">
        <f>BE118</f>
        <v>1396.5</v>
      </c>
      <c r="BE118" s="1568">
        <f>0.15*BA118</f>
        <v>1396.5</v>
      </c>
    </row>
    <row r="119" spans="1:67" ht="5.0999999999999996" customHeight="1" x14ac:dyDescent="0.2">
      <c r="A119" s="1245"/>
      <c r="B119" s="7"/>
      <c r="C119" s="4"/>
      <c r="D119" s="1"/>
      <c r="E119" s="1585"/>
      <c r="F119" s="1"/>
      <c r="G119" s="4"/>
      <c r="H119" s="1"/>
      <c r="I119" s="1"/>
      <c r="J119" s="1"/>
      <c r="K119" s="5"/>
      <c r="L119" s="1595"/>
      <c r="M119" s="1"/>
      <c r="N119" s="1"/>
      <c r="O119" s="1"/>
      <c r="P119" s="1799"/>
      <c r="Q119" s="1799"/>
      <c r="R119" s="1799"/>
      <c r="S119" s="1799"/>
      <c r="T119" s="1799"/>
      <c r="U119" s="1799"/>
      <c r="V119" s="1799"/>
      <c r="W119" s="1799"/>
      <c r="X119" s="1799"/>
      <c r="Y119" s="1799"/>
      <c r="Z119" s="1799"/>
      <c r="AA119" s="573"/>
      <c r="AM119" s="610"/>
      <c r="AN119" s="610"/>
      <c r="AO119" s="610"/>
      <c r="AP119" s="610"/>
    </row>
    <row r="120" spans="1:67" ht="18.75" customHeight="1" x14ac:dyDescent="0.2">
      <c r="A120" s="1245"/>
      <c r="B120" s="7"/>
      <c r="C120" s="4"/>
      <c r="D120" s="1"/>
      <c r="E120" s="1595"/>
      <c r="F120" s="1"/>
      <c r="G120" s="4"/>
      <c r="H120" s="1"/>
      <c r="I120" s="1"/>
      <c r="J120" s="1"/>
      <c r="K120" s="1595"/>
      <c r="L120" s="1476" t="s">
        <v>1320</v>
      </c>
      <c r="M120" s="1633" t="s">
        <v>123</v>
      </c>
      <c r="N120" s="1476" t="s">
        <v>244</v>
      </c>
      <c r="O120" s="1476"/>
      <c r="P120" s="1799"/>
      <c r="Q120" s="2112"/>
      <c r="R120" s="1799"/>
      <c r="S120" s="1799"/>
      <c r="T120" s="1799"/>
      <c r="U120" s="1799"/>
      <c r="V120" s="1799"/>
      <c r="W120" s="1799"/>
      <c r="X120" s="1799"/>
      <c r="Y120" s="1799"/>
      <c r="Z120" s="1799"/>
      <c r="AA120" s="573"/>
      <c r="AM120" s="610"/>
      <c r="AN120" s="610"/>
      <c r="AO120" s="610"/>
      <c r="AP120" s="610"/>
    </row>
    <row r="121" spans="1:67" ht="18.75" customHeight="1" x14ac:dyDescent="0.2">
      <c r="A121" s="1245"/>
      <c r="B121" s="7"/>
      <c r="C121" s="4"/>
      <c r="D121" s="1"/>
      <c r="E121" s="1585"/>
      <c r="F121" s="1585"/>
      <c r="G121" s="1"/>
      <c r="H121" s="1"/>
      <c r="I121" s="1574"/>
      <c r="J121" s="1"/>
      <c r="K121" s="1618" t="s">
        <v>1343</v>
      </c>
      <c r="L121" s="2083">
        <f>L72+SUM(L79:L118)</f>
        <v>4.666666666666667</v>
      </c>
      <c r="M121" s="2083">
        <f>M72+M75+SUM(M79:M118)</f>
        <v>4.6500000000000004</v>
      </c>
      <c r="N121" s="2083">
        <f>L121+M121</f>
        <v>9.3166666666666664</v>
      </c>
      <c r="O121" s="1476"/>
      <c r="P121" s="1799"/>
      <c r="Q121" s="2112"/>
      <c r="R121" s="1799"/>
      <c r="S121" s="1799"/>
      <c r="T121" s="1799"/>
      <c r="U121" s="1799"/>
      <c r="V121" s="1799"/>
      <c r="W121" s="1799"/>
      <c r="X121" s="1799"/>
      <c r="Y121" s="1799"/>
      <c r="Z121" s="1799"/>
      <c r="AA121" s="573"/>
      <c r="AM121" s="610"/>
      <c r="AN121" s="610"/>
      <c r="AO121" s="610"/>
      <c r="AP121" s="610"/>
    </row>
    <row r="122" spans="1:67" ht="5.0999999999999996" customHeight="1" x14ac:dyDescent="0.2">
      <c r="A122" s="1245"/>
      <c r="B122" s="4"/>
      <c r="C122" s="4"/>
      <c r="D122" s="4"/>
      <c r="E122" s="4"/>
      <c r="F122" s="1"/>
      <c r="G122" s="1245"/>
      <c r="H122" s="1"/>
      <c r="I122" s="1"/>
      <c r="J122" s="1245"/>
      <c r="K122" s="1"/>
      <c r="L122" s="1"/>
      <c r="M122" s="1245"/>
      <c r="N122" s="1"/>
      <c r="O122" s="1"/>
      <c r="P122" s="1799"/>
      <c r="Q122" s="1799"/>
      <c r="R122" s="1799"/>
      <c r="S122" s="1799"/>
      <c r="T122" s="1799"/>
      <c r="U122" s="1799"/>
      <c r="V122" s="1799"/>
      <c r="W122" s="1799"/>
      <c r="X122" s="1799"/>
      <c r="Y122" s="1799"/>
      <c r="Z122" s="1799"/>
      <c r="AA122" s="573"/>
    </row>
    <row r="123" spans="1:67" ht="18.75" customHeight="1" x14ac:dyDescent="0.2">
      <c r="A123" s="1245"/>
      <c r="B123" s="4"/>
      <c r="C123" s="4"/>
      <c r="D123" s="4"/>
      <c r="E123" s="4"/>
      <c r="F123" s="1"/>
      <c r="G123" s="1245"/>
      <c r="H123" s="1"/>
      <c r="I123" s="1"/>
      <c r="J123" s="1245"/>
      <c r="K123" s="1"/>
      <c r="L123" s="1476" t="s">
        <v>1320</v>
      </c>
      <c r="M123" s="1633" t="s">
        <v>123</v>
      </c>
      <c r="N123" s="1476" t="s">
        <v>244</v>
      </c>
      <c r="O123" s="1"/>
      <c r="P123" s="1799"/>
      <c r="Q123" s="1799"/>
      <c r="R123" s="1799"/>
      <c r="S123" s="1799"/>
      <c r="T123" s="1799"/>
      <c r="U123" s="1799"/>
      <c r="V123" s="1799"/>
      <c r="W123" s="1799"/>
      <c r="X123" s="1799"/>
      <c r="Y123" s="1799"/>
      <c r="Z123" s="1799"/>
      <c r="AA123" s="573"/>
    </row>
    <row r="124" spans="1:67" ht="18.75" customHeight="1" x14ac:dyDescent="0.2">
      <c r="A124" s="1245"/>
      <c r="B124" s="4"/>
      <c r="C124" s="4"/>
      <c r="D124" s="4"/>
      <c r="E124" s="4"/>
      <c r="F124" s="1"/>
      <c r="G124" s="1245"/>
      <c r="H124" s="1"/>
      <c r="I124" s="1746"/>
      <c r="J124" s="1746"/>
      <c r="K124" s="1747" t="s">
        <v>1556</v>
      </c>
      <c r="L124" s="2084">
        <f>L50+L121</f>
        <v>81.889786666666666</v>
      </c>
      <c r="M124" s="2084">
        <f>M64+M121</f>
        <v>32.9</v>
      </c>
      <c r="N124" s="2084">
        <f>L124+M124</f>
        <v>114.78978666666666</v>
      </c>
      <c r="O124" s="1"/>
      <c r="P124" s="1799"/>
      <c r="Q124" s="1799"/>
      <c r="R124" s="1799"/>
      <c r="S124" s="1799"/>
      <c r="T124" s="1799"/>
      <c r="U124" s="1799"/>
      <c r="V124" s="1799"/>
      <c r="W124" s="1799"/>
      <c r="X124" s="1799"/>
      <c r="Y124" s="1799"/>
      <c r="Z124" s="1799"/>
      <c r="AA124" s="573"/>
    </row>
    <row r="125" spans="1:67" ht="18.75" customHeight="1" x14ac:dyDescent="0.2">
      <c r="A125" s="1245"/>
      <c r="B125" s="4"/>
      <c r="C125" s="4"/>
      <c r="D125" s="4"/>
      <c r="E125" s="4"/>
      <c r="F125" s="1"/>
      <c r="G125" s="1245"/>
      <c r="H125" s="1"/>
      <c r="I125" s="1746"/>
      <c r="J125" s="1746"/>
      <c r="K125" s="595" t="s">
        <v>2039</v>
      </c>
      <c r="L125" s="2085">
        <f>L124/SA_SFPc</f>
        <v>0.90988651851851854</v>
      </c>
      <c r="M125" s="2085">
        <f>M124/SA_SFPc</f>
        <v>0.36555555555555552</v>
      </c>
      <c r="N125" s="2085">
        <f>N124/SA_SFPc</f>
        <v>1.275442074074074</v>
      </c>
      <c r="O125" s="1"/>
      <c r="P125" s="1799"/>
      <c r="Q125" s="1799"/>
      <c r="R125" s="1799"/>
      <c r="S125" s="1799"/>
      <c r="T125" s="1799"/>
      <c r="U125" s="1799"/>
      <c r="V125" s="1799"/>
      <c r="W125" s="1799"/>
      <c r="X125" s="1799"/>
      <c r="Y125" s="1799"/>
      <c r="Z125" s="1799"/>
      <c r="AA125" s="573"/>
    </row>
    <row r="126" spans="1:67" ht="8.1" customHeight="1" x14ac:dyDescent="0.2">
      <c r="A126" s="1245"/>
      <c r="B126" s="4"/>
      <c r="C126" s="4"/>
      <c r="D126" s="4"/>
      <c r="E126" s="4"/>
      <c r="F126" s="1"/>
      <c r="G126" s="1245"/>
      <c r="H126" s="1"/>
      <c r="I126" s="1"/>
      <c r="J126" s="1"/>
      <c r="K126" s="1"/>
      <c r="L126" s="1"/>
      <c r="M126" s="1245"/>
      <c r="N126" s="1"/>
      <c r="O126" s="1"/>
      <c r="P126" s="1799"/>
      <c r="Q126" s="1799"/>
      <c r="R126" s="1799"/>
      <c r="S126" s="1799"/>
      <c r="T126" s="1799"/>
      <c r="U126" s="1799"/>
      <c r="V126" s="1799"/>
      <c r="W126" s="1799"/>
      <c r="X126" s="1799"/>
      <c r="Y126" s="1799"/>
      <c r="Z126" s="1799"/>
      <c r="AA126" s="573"/>
    </row>
    <row r="127" spans="1:67" ht="18.75" customHeight="1" x14ac:dyDescent="0.2">
      <c r="A127" s="1245"/>
      <c r="B127" s="1471" t="s">
        <v>1425</v>
      </c>
      <c r="C127" s="4"/>
      <c r="D127" s="4"/>
      <c r="E127" s="4"/>
      <c r="F127" s="1"/>
      <c r="G127" s="1245"/>
      <c r="H127" s="1"/>
      <c r="I127" s="1"/>
      <c r="J127" s="1"/>
      <c r="K127" s="1"/>
      <c r="L127" s="1663">
        <f>SUM(BA50,BA68,BA84:BA87,BA91,BA97,BA107:BA109,BA112,BA118)</f>
        <v>20490</v>
      </c>
      <c r="M127" s="1663">
        <f>SUM(BB57,BB64,BB74,BB79,BB84:BB87,BB91,BB96,BB103,BB107:BB109,BB112,BB117)</f>
        <v>10445</v>
      </c>
      <c r="N127" s="1663">
        <f>L127+M127</f>
        <v>30935</v>
      </c>
      <c r="O127" s="1"/>
      <c r="P127" s="1799"/>
      <c r="Q127" s="1799"/>
      <c r="R127" s="1799"/>
      <c r="S127" s="1799"/>
      <c r="T127" s="1799"/>
      <c r="U127" s="1799"/>
      <c r="V127" s="1799"/>
      <c r="W127" s="1799"/>
      <c r="X127" s="1799"/>
      <c r="Y127" s="1799"/>
      <c r="Z127" s="1799"/>
      <c r="AA127" s="573"/>
      <c r="AK127"/>
      <c r="AL127"/>
    </row>
    <row r="128" spans="1:67" ht="18.75" customHeight="1" x14ac:dyDescent="0.2">
      <c r="A128" s="1245"/>
      <c r="B128" s="1471" t="s">
        <v>1424</v>
      </c>
      <c r="C128" s="4"/>
      <c r="D128" s="4"/>
      <c r="E128" s="4"/>
      <c r="F128" s="1"/>
      <c r="G128" s="1"/>
      <c r="H128" s="1"/>
      <c r="I128" s="1"/>
      <c r="J128" s="1"/>
      <c r="K128" s="1"/>
      <c r="L128" s="1663">
        <f>SUM(BA68,BA84:BA87,BA91,BA97,BA107:BA109,BA112,BA118)</f>
        <v>11190</v>
      </c>
      <c r="M128" s="1663">
        <f>SUM(BB57,BB74,BB79,BB84:BB87,BB91,BB96,BB103,BB107:BB109,BB112,BB117)</f>
        <v>6365</v>
      </c>
      <c r="N128" s="1663">
        <f>L128+M128</f>
        <v>17555</v>
      </c>
      <c r="O128" s="1"/>
      <c r="P128" s="1799"/>
      <c r="Q128" s="1799"/>
      <c r="R128" s="1799"/>
      <c r="S128" s="1799"/>
      <c r="T128" s="1799"/>
      <c r="U128" s="1799"/>
      <c r="V128" s="1799"/>
      <c r="W128" s="1799"/>
      <c r="X128" s="1799"/>
      <c r="Y128" s="1799"/>
      <c r="Z128" s="1799"/>
      <c r="AA128" s="573"/>
    </row>
    <row r="129" spans="1:37" ht="3" customHeight="1" x14ac:dyDescent="0.2">
      <c r="A129" s="1245"/>
      <c r="B129" s="4"/>
      <c r="C129" s="4"/>
      <c r="D129" s="4"/>
      <c r="E129" s="4"/>
      <c r="F129" s="1"/>
      <c r="G129" s="1"/>
      <c r="H129" s="1"/>
      <c r="I129" s="1"/>
      <c r="J129" s="1"/>
      <c r="K129" s="1"/>
      <c r="L129" s="1"/>
      <c r="M129" s="1"/>
      <c r="N129" s="1"/>
      <c r="O129" s="1"/>
      <c r="P129" s="1799"/>
      <c r="Q129" s="1799"/>
      <c r="R129" s="1799"/>
      <c r="S129" s="1799"/>
      <c r="T129" s="1799"/>
      <c r="U129" s="1799"/>
      <c r="V129" s="1799"/>
      <c r="W129" s="1799"/>
      <c r="X129" s="1799"/>
      <c r="Y129" s="1799"/>
      <c r="Z129" s="1799"/>
      <c r="AA129" s="573"/>
    </row>
    <row r="130" spans="1:37" ht="18.75" customHeight="1" x14ac:dyDescent="0.2">
      <c r="A130" s="1245"/>
      <c r="B130" s="3" t="s">
        <v>453</v>
      </c>
      <c r="C130" s="1"/>
      <c r="D130" s="1"/>
      <c r="E130" s="1"/>
      <c r="F130" s="1"/>
      <c r="G130" s="1"/>
      <c r="H130" s="1"/>
      <c r="I130" s="1"/>
      <c r="J130" s="1"/>
      <c r="K130" s="1"/>
      <c r="L130" s="1"/>
      <c r="M130" s="1"/>
      <c r="N130" s="1"/>
      <c r="O130" s="1"/>
      <c r="P130" s="1799"/>
      <c r="Q130" s="1799"/>
      <c r="R130" s="1799"/>
      <c r="S130" s="1799"/>
      <c r="T130" s="1799"/>
      <c r="U130" s="1799"/>
      <c r="V130" s="1799"/>
      <c r="W130" s="1799"/>
      <c r="X130" s="1799"/>
      <c r="Y130" s="1799"/>
      <c r="Z130" s="1799"/>
      <c r="AA130" s="573"/>
    </row>
    <row r="131" spans="1:37" ht="39.75" customHeight="1" x14ac:dyDescent="0.2">
      <c r="A131" s="1245"/>
      <c r="B131" s="3"/>
      <c r="C131" s="1"/>
      <c r="D131" s="1"/>
      <c r="E131" s="1"/>
      <c r="F131" s="1"/>
      <c r="G131" s="1"/>
      <c r="H131" s="2998" t="s">
        <v>2161</v>
      </c>
      <c r="I131" s="2998"/>
      <c r="J131" s="1"/>
      <c r="K131" s="2999" t="s">
        <v>1749</v>
      </c>
      <c r="L131" s="2999"/>
      <c r="M131" s="1"/>
      <c r="N131" s="2086" t="s">
        <v>2162</v>
      </c>
      <c r="O131" s="1"/>
      <c r="P131" s="1799"/>
      <c r="Q131" s="1799"/>
      <c r="R131" s="1799"/>
      <c r="S131" s="1799"/>
      <c r="T131" s="1799"/>
      <c r="U131" s="1799"/>
      <c r="V131" s="1799"/>
      <c r="W131" s="1799"/>
      <c r="X131" s="1799"/>
      <c r="Y131" s="1799"/>
      <c r="Z131" s="1799"/>
      <c r="AA131" s="573"/>
    </row>
    <row r="132" spans="1:37" ht="18.75" customHeight="1" x14ac:dyDescent="0.2">
      <c r="A132" s="1245"/>
      <c r="B132" s="3"/>
      <c r="C132" s="3"/>
      <c r="D132" s="3"/>
      <c r="E132" s="3"/>
      <c r="F132" s="3"/>
      <c r="G132" s="3"/>
      <c r="H132" s="3"/>
      <c r="I132" s="18">
        <v>1100</v>
      </c>
      <c r="J132" s="2082" t="s">
        <v>2163</v>
      </c>
      <c r="K132" s="1318"/>
      <c r="L132" s="18">
        <v>300</v>
      </c>
      <c r="M132" s="1318" t="s">
        <v>2163</v>
      </c>
      <c r="N132" s="1848">
        <f>AVL_JoPer1*AVL_ConJou1+AVL_JoPer2*AVL_ConJou2+AVL_JoPer3*AVL_ConJou3</f>
        <v>280</v>
      </c>
      <c r="O132" s="1624" t="s">
        <v>2163</v>
      </c>
      <c r="P132" s="1799"/>
      <c r="Q132" s="1799"/>
      <c r="R132" s="1799"/>
      <c r="S132" s="1799"/>
      <c r="T132" s="1799"/>
      <c r="U132" s="1799"/>
      <c r="V132" s="1799"/>
      <c r="W132" s="1799"/>
      <c r="X132" s="1799"/>
      <c r="Y132" s="1799"/>
      <c r="Z132" s="1799"/>
      <c r="AA132" s="573"/>
    </row>
    <row r="133" spans="1:37" ht="3" customHeight="1" x14ac:dyDescent="0.2">
      <c r="A133" s="1245"/>
      <c r="B133" s="3"/>
      <c r="C133" s="3"/>
      <c r="D133" s="3"/>
      <c r="E133" s="3"/>
      <c r="F133" s="3"/>
      <c r="G133" s="3"/>
      <c r="H133" s="3"/>
      <c r="I133" s="1"/>
      <c r="J133" s="1"/>
      <c r="K133" s="1"/>
      <c r="L133" s="1"/>
      <c r="M133" s="1"/>
      <c r="N133" s="1"/>
      <c r="O133" s="1"/>
      <c r="P133" s="1799"/>
      <c r="Q133" s="1799"/>
      <c r="R133" s="1799"/>
      <c r="S133" s="1799"/>
      <c r="T133" s="1799"/>
      <c r="U133" s="1799"/>
      <c r="V133" s="1799"/>
      <c r="W133" s="1799"/>
      <c r="X133" s="1799"/>
      <c r="Y133" s="1799"/>
      <c r="Z133" s="1799"/>
      <c r="AA133" s="573"/>
    </row>
    <row r="134" spans="1:37" ht="13.5" customHeight="1" x14ac:dyDescent="0.2">
      <c r="A134" s="1245"/>
      <c r="B134" s="625" t="s">
        <v>107</v>
      </c>
      <c r="C134" s="10"/>
      <c r="D134" s="1"/>
      <c r="E134" s="10" t="s">
        <v>164</v>
      </c>
      <c r="F134" s="1"/>
      <c r="G134" s="1424" t="s">
        <v>1033</v>
      </c>
      <c r="H134" s="1245"/>
      <c r="I134" s="1253" t="s">
        <v>2091</v>
      </c>
      <c r="J134" s="1"/>
      <c r="K134" s="1" t="s">
        <v>833</v>
      </c>
      <c r="L134" s="1"/>
      <c r="M134" s="1"/>
      <c r="N134" s="1253" t="s">
        <v>1509</v>
      </c>
      <c r="O134" s="1"/>
      <c r="P134" s="1799"/>
      <c r="Q134" s="1799"/>
      <c r="R134" s="1799"/>
      <c r="S134" s="1799"/>
      <c r="T134" s="1799"/>
      <c r="U134" s="1799"/>
      <c r="V134" s="1799"/>
      <c r="W134" s="1799"/>
      <c r="X134" s="1799"/>
      <c r="Y134" s="1799"/>
      <c r="Z134" s="1799"/>
      <c r="AA134" s="573"/>
    </row>
    <row r="135" spans="1:37" ht="18.75" customHeight="1" x14ac:dyDescent="0.2">
      <c r="A135" s="1245"/>
      <c r="B135" s="11"/>
      <c r="C135" s="11" t="s">
        <v>835</v>
      </c>
      <c r="D135" s="1243"/>
      <c r="E135" s="18">
        <v>90</v>
      </c>
      <c r="F135" s="1" t="s">
        <v>242</v>
      </c>
      <c r="G135" s="18">
        <v>12</v>
      </c>
      <c r="H135" s="1" t="s">
        <v>156</v>
      </c>
      <c r="I135" s="1434">
        <v>2</v>
      </c>
      <c r="J135" s="1253" t="s">
        <v>2092</v>
      </c>
      <c r="K135" s="1848">
        <f>VL_NbVaches/AVL_Surpat1</f>
        <v>4.25</v>
      </c>
      <c r="L135" s="1253" t="s">
        <v>834</v>
      </c>
      <c r="M135" s="1"/>
      <c r="N135" s="1848">
        <f>100/AVL_ChPer1</f>
        <v>23.529411764705884</v>
      </c>
      <c r="O135" s="1253" t="s">
        <v>1510</v>
      </c>
      <c r="P135" s="1799"/>
      <c r="Q135" s="1799"/>
      <c r="R135" s="1799"/>
      <c r="S135" s="1799"/>
      <c r="T135" s="1799"/>
      <c r="U135" s="1799"/>
      <c r="V135" s="1799"/>
      <c r="W135" s="1799"/>
      <c r="X135" s="1799"/>
      <c r="Y135" s="1799"/>
      <c r="Z135" s="1799"/>
      <c r="AA135" s="573"/>
    </row>
    <row r="136" spans="1:37" ht="3" customHeight="1" x14ac:dyDescent="0.2">
      <c r="A136" s="1245"/>
      <c r="B136" s="11"/>
      <c r="C136" s="11"/>
      <c r="D136" s="569"/>
      <c r="E136" s="1"/>
      <c r="F136" s="1"/>
      <c r="G136" s="1"/>
      <c r="H136" s="1"/>
      <c r="I136" s="1"/>
      <c r="J136" s="1"/>
      <c r="K136" s="1"/>
      <c r="L136" s="1"/>
      <c r="M136" s="1"/>
      <c r="N136" s="1"/>
      <c r="O136" s="1"/>
      <c r="P136" s="1799"/>
      <c r="Q136" s="1799"/>
      <c r="R136" s="1799"/>
      <c r="S136" s="1799"/>
      <c r="T136" s="1799"/>
      <c r="U136" s="1799"/>
      <c r="V136" s="1799"/>
      <c r="W136" s="1799"/>
      <c r="X136" s="1799"/>
      <c r="Y136" s="1799"/>
      <c r="Z136" s="1799"/>
      <c r="AA136" s="573"/>
    </row>
    <row r="137" spans="1:37" ht="18.75" customHeight="1" x14ac:dyDescent="0.2">
      <c r="A137" s="1245"/>
      <c r="B137" s="11"/>
      <c r="C137" s="11" t="s">
        <v>108</v>
      </c>
      <c r="D137" s="1243"/>
      <c r="E137" s="18">
        <v>55</v>
      </c>
      <c r="F137" s="1" t="s">
        <v>242</v>
      </c>
      <c r="G137" s="18">
        <v>18</v>
      </c>
      <c r="H137" s="1" t="s">
        <v>156</v>
      </c>
      <c r="I137" s="18">
        <v>1</v>
      </c>
      <c r="J137" s="1253" t="s">
        <v>2092</v>
      </c>
      <c r="K137" s="1848">
        <f>VL_NbVaches/AVL_SurPat2</f>
        <v>2.8333333333333335</v>
      </c>
      <c r="L137" s="1" t="s">
        <v>834</v>
      </c>
      <c r="M137" s="1"/>
      <c r="N137" s="1848">
        <f>100/AVL_ChPer2</f>
        <v>35.294117647058819</v>
      </c>
      <c r="O137" s="1253" t="s">
        <v>1510</v>
      </c>
      <c r="P137" s="1799"/>
      <c r="Q137" s="1799"/>
      <c r="R137" s="1799"/>
      <c r="S137" s="1799"/>
      <c r="T137" s="1799"/>
      <c r="U137" s="1799"/>
      <c r="V137" s="1799"/>
      <c r="W137" s="1799"/>
      <c r="X137" s="1799"/>
      <c r="Y137" s="1799"/>
      <c r="Z137" s="1799"/>
      <c r="AA137" s="573"/>
    </row>
    <row r="138" spans="1:37" ht="3" customHeight="1" x14ac:dyDescent="0.2">
      <c r="A138" s="1245"/>
      <c r="B138" s="11"/>
      <c r="C138" s="11"/>
      <c r="D138" s="5"/>
      <c r="E138" s="1"/>
      <c r="F138" s="1"/>
      <c r="G138" s="1"/>
      <c r="H138" s="1"/>
      <c r="I138" s="1"/>
      <c r="J138" s="1"/>
      <c r="K138" s="1"/>
      <c r="L138" s="1"/>
      <c r="M138" s="1"/>
      <c r="N138" s="1"/>
      <c r="O138" s="1"/>
      <c r="P138" s="1799"/>
      <c r="Q138" s="1799"/>
      <c r="R138" s="1799"/>
      <c r="S138" s="1799"/>
      <c r="T138" s="1799"/>
      <c r="U138" s="1799"/>
      <c r="V138" s="1799"/>
      <c r="W138" s="1799"/>
      <c r="X138" s="1799"/>
      <c r="Y138" s="1799"/>
      <c r="Z138" s="1799"/>
      <c r="AA138" s="573"/>
    </row>
    <row r="139" spans="1:37" ht="18.75" customHeight="1" x14ac:dyDescent="0.2">
      <c r="A139" s="1245"/>
      <c r="B139" s="11"/>
      <c r="C139" s="1555" t="s">
        <v>1208</v>
      </c>
      <c r="D139" s="1243"/>
      <c r="E139" s="18">
        <v>45</v>
      </c>
      <c r="F139" s="1" t="s">
        <v>242</v>
      </c>
      <c r="G139" s="1383">
        <f>SA_SFP_HerbeVL</f>
        <v>26</v>
      </c>
      <c r="H139" s="1" t="s">
        <v>156</v>
      </c>
      <c r="I139" s="18">
        <v>1</v>
      </c>
      <c r="J139" s="1253" t="s">
        <v>2092</v>
      </c>
      <c r="K139" s="1848">
        <f>VL_NbVaches/AVL_SurPat3</f>
        <v>1.9615384615384615</v>
      </c>
      <c r="L139" s="1" t="s">
        <v>834</v>
      </c>
      <c r="M139" s="1"/>
      <c r="N139" s="1848">
        <f>100/AVL_ChPer3</f>
        <v>50.980392156862749</v>
      </c>
      <c r="O139" s="1253" t="s">
        <v>1510</v>
      </c>
      <c r="P139" s="1799"/>
      <c r="Q139" s="1799"/>
      <c r="R139" s="1799"/>
      <c r="S139" s="1799"/>
      <c r="T139" s="1799"/>
      <c r="U139" s="1799"/>
      <c r="V139" s="1799"/>
      <c r="W139" s="1799"/>
      <c r="X139" s="1799"/>
      <c r="Y139" s="1799"/>
      <c r="Z139" s="1799"/>
      <c r="AA139" s="573"/>
    </row>
    <row r="140" spans="1:37" ht="9.9499999999999993" customHeight="1" x14ac:dyDescent="0.2">
      <c r="A140" s="1245"/>
      <c r="B140" s="11"/>
      <c r="C140" s="11"/>
      <c r="D140" s="1"/>
      <c r="E140" s="1"/>
      <c r="F140" s="1"/>
      <c r="G140" s="1"/>
      <c r="H140" s="1"/>
      <c r="I140" s="1"/>
      <c r="J140" s="1"/>
      <c r="K140" s="1"/>
      <c r="L140" s="1"/>
      <c r="M140" s="1"/>
      <c r="N140" s="1"/>
      <c r="O140" s="1"/>
      <c r="P140" s="1799"/>
      <c r="Q140" s="1799"/>
      <c r="R140" s="1799"/>
      <c r="S140" s="1799"/>
      <c r="T140" s="1799"/>
      <c r="U140" s="1799"/>
      <c r="V140" s="1799"/>
      <c r="W140" s="1799"/>
      <c r="X140" s="1799"/>
      <c r="Y140" s="1799"/>
      <c r="Z140" s="1799"/>
      <c r="AA140" s="573"/>
    </row>
    <row r="141" spans="1:37" ht="18.75" customHeight="1" x14ac:dyDescent="0.2">
      <c r="A141" s="1245"/>
      <c r="B141" s="1829" t="s">
        <v>1032</v>
      </c>
      <c r="C141" s="1830"/>
      <c r="D141" s="1831">
        <v>100</v>
      </c>
      <c r="E141" s="571" t="s">
        <v>242</v>
      </c>
      <c r="F141" s="1"/>
      <c r="G141" s="1244"/>
      <c r="H141" s="570"/>
      <c r="I141" s="1"/>
      <c r="J141" s="1"/>
      <c r="K141" s="1"/>
      <c r="L141" s="1"/>
      <c r="M141" s="1"/>
      <c r="N141" s="1"/>
      <c r="O141" s="1"/>
      <c r="P141" s="1799"/>
      <c r="Q141" s="1799"/>
      <c r="R141" s="1799"/>
      <c r="S141" s="1799"/>
      <c r="T141" s="1799"/>
      <c r="U141" s="1799"/>
      <c r="V141" s="1799"/>
      <c r="W141" s="1799"/>
      <c r="X141" s="1799"/>
      <c r="Y141" s="1799"/>
      <c r="Z141" s="1799"/>
      <c r="AA141" s="573"/>
    </row>
    <row r="142" spans="1:37" ht="18.75" customHeight="1" x14ac:dyDescent="0.2">
      <c r="A142" s="1245"/>
      <c r="B142" s="1832" t="s">
        <v>2053</v>
      </c>
      <c r="C142" s="1830"/>
      <c r="D142" s="1833"/>
      <c r="E142" s="1"/>
      <c r="F142" s="1"/>
      <c r="G142" s="1"/>
      <c r="H142" s="1"/>
      <c r="I142" s="1"/>
      <c r="J142" s="1"/>
      <c r="K142" s="1"/>
      <c r="L142" s="1"/>
      <c r="M142" s="1"/>
      <c r="N142" s="1"/>
      <c r="O142" s="1"/>
      <c r="P142" s="1799"/>
      <c r="Q142" s="1799"/>
      <c r="R142" s="1799"/>
      <c r="S142" s="1799"/>
      <c r="T142" s="1799"/>
      <c r="U142" s="1799"/>
      <c r="V142" s="1799"/>
      <c r="W142" s="1799"/>
      <c r="X142" s="1799"/>
      <c r="Y142" s="1799"/>
      <c r="Z142" s="1799"/>
      <c r="AA142" s="573"/>
      <c r="AJ142" s="1922" t="s">
        <v>1696</v>
      </c>
      <c r="AK142"/>
    </row>
    <row r="143" spans="1:37" ht="18.75" customHeight="1" x14ac:dyDescent="0.2">
      <c r="A143" s="1245"/>
      <c r="B143" s="1833" t="s">
        <v>178</v>
      </c>
      <c r="C143" s="1833"/>
      <c r="D143" s="1833"/>
      <c r="E143" s="1"/>
      <c r="F143" s="1"/>
      <c r="G143" s="1"/>
      <c r="H143" s="1"/>
      <c r="I143" s="1"/>
      <c r="J143" s="1"/>
      <c r="K143" s="1"/>
      <c r="L143" s="1"/>
      <c r="M143" s="1"/>
      <c r="N143" s="1"/>
      <c r="O143" s="1"/>
      <c r="P143" s="1799"/>
      <c r="Q143" s="1799"/>
      <c r="R143" s="1799"/>
      <c r="S143" s="1799"/>
      <c r="T143" s="1799"/>
      <c r="U143" s="1799"/>
      <c r="V143" s="1799"/>
      <c r="W143" s="1799"/>
      <c r="X143" s="1799"/>
      <c r="Y143" s="1799"/>
      <c r="Z143" s="1799"/>
      <c r="AA143" s="746" t="str">
        <f>ADDRESS(ROW(F143),COLUMN(F143))</f>
        <v>$F$143</v>
      </c>
      <c r="AB143" s="745" t="s">
        <v>473</v>
      </c>
      <c r="AC143" s="742">
        <v>1</v>
      </c>
      <c r="AD143" s="748" t="s">
        <v>266</v>
      </c>
      <c r="AE143" s="743"/>
      <c r="AF143" s="744"/>
      <c r="AJ143" s="1922" t="s">
        <v>1697</v>
      </c>
      <c r="AK143"/>
    </row>
    <row r="144" spans="1:37" ht="8.1" customHeight="1" x14ac:dyDescent="0.2">
      <c r="A144" s="1245"/>
      <c r="B144" s="12"/>
      <c r="C144" s="1"/>
      <c r="D144" s="1"/>
      <c r="E144" s="1"/>
      <c r="F144" s="1"/>
      <c r="G144" s="1"/>
      <c r="H144" s="1"/>
      <c r="I144" s="1"/>
      <c r="J144" s="1"/>
      <c r="K144" s="1"/>
      <c r="L144" s="1"/>
      <c r="M144" s="1"/>
      <c r="N144" s="1"/>
      <c r="O144" s="1"/>
      <c r="P144" s="1799"/>
      <c r="Q144" s="1799"/>
      <c r="R144" s="1799"/>
      <c r="S144" s="1799"/>
      <c r="T144" s="1799"/>
      <c r="U144" s="1799"/>
      <c r="V144" s="1799"/>
      <c r="W144" s="1799"/>
      <c r="X144" s="1799"/>
      <c r="Y144" s="1799"/>
      <c r="Z144" s="1799"/>
      <c r="AA144" s="1254"/>
      <c r="AB144" s="577"/>
      <c r="AC144" s="1255"/>
      <c r="AD144" s="611"/>
      <c r="AE144" s="610"/>
      <c r="AF144" s="610"/>
      <c r="AJ144" s="1922" t="s">
        <v>1698</v>
      </c>
      <c r="AK144"/>
    </row>
    <row r="145" spans="1:37" ht="18.75" customHeight="1" x14ac:dyDescent="0.2">
      <c r="A145" s="1245"/>
      <c r="B145" s="1833" t="s">
        <v>170</v>
      </c>
      <c r="C145" s="1833"/>
      <c r="D145" s="1833"/>
      <c r="E145" s="1833"/>
      <c r="F145" s="1833"/>
      <c r="G145" s="2987"/>
      <c r="H145" s="2988"/>
      <c r="I145" s="1"/>
      <c r="J145" s="1"/>
      <c r="K145" s="1"/>
      <c r="L145" s="1"/>
      <c r="M145" s="1"/>
      <c r="N145" s="1"/>
      <c r="O145" s="1"/>
      <c r="P145" s="1799"/>
      <c r="Q145" s="1799"/>
      <c r="R145" s="1799"/>
      <c r="S145" s="1799"/>
      <c r="T145" s="1799"/>
      <c r="U145" s="1799"/>
      <c r="V145" s="1799"/>
      <c r="W145" s="1799"/>
      <c r="X145" s="1799"/>
      <c r="Y145" s="1799"/>
      <c r="Z145" s="1799"/>
      <c r="AA145"/>
      <c r="AB145"/>
      <c r="AC145"/>
      <c r="AD145"/>
      <c r="AE145"/>
      <c r="AF145"/>
      <c r="AG145"/>
      <c r="AH145"/>
      <c r="AJ145" s="1922" t="s">
        <v>1699</v>
      </c>
      <c r="AK145"/>
    </row>
    <row r="146" spans="1:37" ht="8.1" customHeight="1" x14ac:dyDescent="0.2">
      <c r="A146" s="1245"/>
      <c r="B146" s="12"/>
      <c r="C146" s="1"/>
      <c r="D146" s="1"/>
      <c r="E146" s="1"/>
      <c r="F146" s="1"/>
      <c r="G146" s="1"/>
      <c r="H146" s="1"/>
      <c r="I146" s="1"/>
      <c r="J146" s="1"/>
      <c r="K146" s="1"/>
      <c r="L146" s="1"/>
      <c r="M146" s="1"/>
      <c r="N146" s="1"/>
      <c r="O146" s="1"/>
      <c r="P146" s="1799"/>
      <c r="Q146" s="1799"/>
      <c r="R146" s="1799"/>
      <c r="S146" s="1799"/>
      <c r="T146" s="1799"/>
      <c r="U146" s="1799"/>
      <c r="V146" s="1799"/>
      <c r="W146" s="1799"/>
      <c r="X146" s="1799"/>
      <c r="Y146" s="1799"/>
      <c r="Z146" s="1799"/>
      <c r="AA146" s="1254"/>
      <c r="AB146" s="577"/>
      <c r="AC146" s="1255"/>
      <c r="AD146" s="611"/>
      <c r="AE146" s="610"/>
      <c r="AF146" s="610"/>
    </row>
    <row r="147" spans="1:37" ht="18.75" customHeight="1" x14ac:dyDescent="0.2">
      <c r="A147" s="1245"/>
      <c r="B147" s="1834" t="s">
        <v>492</v>
      </c>
      <c r="C147" s="1835"/>
      <c r="D147" s="1836"/>
      <c r="E147" s="1837"/>
      <c r="F147" s="11"/>
      <c r="G147" s="11"/>
      <c r="H147" s="1"/>
      <c r="I147" s="13" t="s">
        <v>921</v>
      </c>
      <c r="J147" s="727">
        <f>IF(AVL_JoConnus=1,SUM(D148:D151)+AVL_PaHerSeu,IF(AVL_JoConnus=2,SUM(E135:E139),""))</f>
        <v>190</v>
      </c>
      <c r="K147" s="1253" t="s">
        <v>1715</v>
      </c>
      <c r="L147" s="3019" t="str">
        <f>IF(AVL_Paturage=SUM(E135:E139),"","&lt;-- Attention cette durée doit être égale à la somme des 3 périodes")</f>
        <v/>
      </c>
      <c r="M147" s="3019"/>
      <c r="N147" s="1"/>
      <c r="O147" s="1"/>
      <c r="P147" s="1799"/>
      <c r="Q147" s="1799"/>
      <c r="R147" s="1799"/>
      <c r="S147" s="1799"/>
      <c r="T147" s="1799"/>
      <c r="U147" s="1799"/>
      <c r="V147" s="1799"/>
      <c r="W147" s="1799"/>
      <c r="X147" s="1799"/>
      <c r="Y147" s="1799"/>
      <c r="Z147" s="1799"/>
      <c r="AA147" s="573"/>
      <c r="AC147"/>
      <c r="AD147"/>
    </row>
    <row r="148" spans="1:37" ht="18.75" customHeight="1" x14ac:dyDescent="0.2">
      <c r="A148" s="1245"/>
      <c r="B148" s="1838" t="s">
        <v>2054</v>
      </c>
      <c r="C148" s="1830"/>
      <c r="D148" s="1839"/>
      <c r="E148" s="1840" t="s">
        <v>242</v>
      </c>
      <c r="F148" s="1"/>
      <c r="G148" s="1"/>
      <c r="H148" s="1"/>
      <c r="I148" s="1"/>
      <c r="J148" s="1248"/>
      <c r="K148" s="1"/>
      <c r="L148" s="3019"/>
      <c r="M148" s="3019"/>
      <c r="N148" s="1"/>
      <c r="O148" s="1"/>
      <c r="P148" s="1799"/>
      <c r="Q148" s="1799"/>
      <c r="R148" s="1799"/>
      <c r="S148" s="1799"/>
      <c r="T148" s="1799"/>
      <c r="U148" s="1799"/>
      <c r="V148" s="1799"/>
      <c r="W148" s="1799"/>
      <c r="X148" s="1799"/>
      <c r="Y148" s="1799"/>
      <c r="Z148" s="1799"/>
      <c r="AA148" s="573"/>
      <c r="AC148"/>
      <c r="AD148"/>
    </row>
    <row r="149" spans="1:37" ht="18.75" customHeight="1" x14ac:dyDescent="0.2">
      <c r="A149" s="1245"/>
      <c r="B149" s="1838" t="s">
        <v>237</v>
      </c>
      <c r="C149" s="1830"/>
      <c r="D149" s="1839"/>
      <c r="E149" s="1840" t="s">
        <v>242</v>
      </c>
      <c r="F149" s="7" t="str">
        <f>IF(OR(AVL_JoConnus&lt;&gt;1,AG150=0),"","   Total "&amp;AF150&amp;" jours")</f>
        <v xml:space="preserve">   Total 90 jours</v>
      </c>
      <c r="G149" s="1"/>
      <c r="H149" s="1"/>
      <c r="I149" s="1"/>
      <c r="J149" s="1"/>
      <c r="K149" s="1"/>
      <c r="L149" s="3019"/>
      <c r="M149" s="3019"/>
      <c r="N149" s="1"/>
      <c r="O149" s="1"/>
      <c r="P149" s="1799"/>
      <c r="Q149" s="1799"/>
      <c r="R149" s="1799"/>
      <c r="S149" s="1799"/>
      <c r="T149" s="1799"/>
      <c r="U149" s="1799"/>
      <c r="V149" s="1799"/>
      <c r="W149" s="1799"/>
      <c r="X149" s="1799"/>
      <c r="Y149" s="1799"/>
      <c r="Z149" s="1799"/>
      <c r="AA149" s="573"/>
      <c r="AC149"/>
      <c r="AD149"/>
    </row>
    <row r="150" spans="1:37" ht="18.75" customHeight="1" x14ac:dyDescent="0.2">
      <c r="A150" s="1245"/>
      <c r="B150" s="1838" t="s">
        <v>238</v>
      </c>
      <c r="C150" s="1830"/>
      <c r="D150" s="1839">
        <v>90</v>
      </c>
      <c r="E150" s="1840" t="s">
        <v>242</v>
      </c>
      <c r="F150" s="1216"/>
      <c r="G150" s="1"/>
      <c r="H150" s="1"/>
      <c r="I150" s="1"/>
      <c r="J150" s="1"/>
      <c r="K150" s="1"/>
      <c r="L150" s="1"/>
      <c r="M150" s="1"/>
      <c r="N150" s="1"/>
      <c r="O150" s="1"/>
      <c r="P150" s="1799"/>
      <c r="Q150" s="1799"/>
      <c r="R150" s="1799"/>
      <c r="S150" s="1799"/>
      <c r="T150" s="1799"/>
      <c r="U150" s="1799"/>
      <c r="V150" s="1799"/>
      <c r="W150" s="1799"/>
      <c r="X150" s="1799"/>
      <c r="Y150" s="1799"/>
      <c r="Z150" s="1799"/>
      <c r="AA150" s="573"/>
      <c r="AC150"/>
      <c r="AD150"/>
      <c r="AE150" s="1217">
        <f>AVL_JoPer2+AVL_JoPer3</f>
        <v>100</v>
      </c>
      <c r="AF150" s="1217">
        <f>SUM(D148:D151)</f>
        <v>90</v>
      </c>
      <c r="AG150" s="1217">
        <f>AE150-AF150</f>
        <v>10</v>
      </c>
    </row>
    <row r="151" spans="1:37" ht="18.75" customHeight="1" x14ac:dyDescent="0.2">
      <c r="A151" s="1245"/>
      <c r="B151" s="1841" t="s">
        <v>239</v>
      </c>
      <c r="C151" s="1842"/>
      <c r="D151" s="1839"/>
      <c r="E151" s="1843" t="s">
        <v>242</v>
      </c>
      <c r="F151" s="7"/>
      <c r="G151" s="1"/>
      <c r="H151" s="1"/>
      <c r="I151" s="1"/>
      <c r="J151" s="1"/>
      <c r="K151" s="1"/>
      <c r="L151" s="1"/>
      <c r="M151" s="1"/>
      <c r="N151" s="1"/>
      <c r="O151" s="1"/>
      <c r="P151" s="1799"/>
      <c r="Q151" s="1799"/>
      <c r="R151" s="1799"/>
      <c r="S151" s="1799"/>
      <c r="T151" s="1799"/>
      <c r="U151" s="1799"/>
      <c r="V151" s="1799"/>
      <c r="W151" s="1799"/>
      <c r="X151" s="1799"/>
      <c r="Y151" s="1799"/>
      <c r="Z151" s="1799"/>
      <c r="AA151" s="573"/>
      <c r="AC151"/>
      <c r="AD151"/>
    </row>
    <row r="152" spans="1:37" ht="18.75" customHeight="1" x14ac:dyDescent="0.2">
      <c r="A152" s="1245"/>
      <c r="B152" s="1834" t="s">
        <v>1009</v>
      </c>
      <c r="C152" s="1835"/>
      <c r="D152" s="1844"/>
      <c r="E152" s="1845"/>
      <c r="F152" s="1"/>
      <c r="G152" s="1"/>
      <c r="H152" s="1"/>
      <c r="I152" s="1"/>
      <c r="J152" s="1"/>
      <c r="K152" s="1"/>
      <c r="L152" s="1"/>
      <c r="M152" s="1"/>
      <c r="N152" s="1"/>
      <c r="O152" s="1"/>
      <c r="P152" s="1799"/>
      <c r="Q152" s="1799"/>
      <c r="R152" s="1799"/>
      <c r="S152" s="1799"/>
      <c r="T152" s="1799"/>
      <c r="U152" s="1799"/>
      <c r="V152" s="1799"/>
      <c r="W152" s="1799"/>
      <c r="X152" s="1799"/>
      <c r="Y152" s="1799"/>
      <c r="Z152" s="1799"/>
      <c r="AA152" s="573"/>
      <c r="AC152"/>
      <c r="AD152"/>
    </row>
    <row r="153" spans="1:37" ht="18.75" customHeight="1" x14ac:dyDescent="0.2">
      <c r="A153" s="1245"/>
      <c r="B153" s="1838" t="s">
        <v>1301</v>
      </c>
      <c r="C153" s="1830"/>
      <c r="D153" s="1846"/>
      <c r="E153" s="1840" t="s">
        <v>242</v>
      </c>
      <c r="F153" s="1"/>
      <c r="G153" s="1"/>
      <c r="H153" s="1"/>
      <c r="I153" s="1"/>
      <c r="J153" s="1"/>
      <c r="K153" s="1"/>
      <c r="L153" s="1"/>
      <c r="M153" s="1"/>
      <c r="N153" s="1"/>
      <c r="O153" s="1"/>
      <c r="P153" s="1799"/>
      <c r="Q153" s="1799"/>
      <c r="R153" s="1799"/>
      <c r="S153" s="1799"/>
      <c r="T153" s="1799"/>
      <c r="U153" s="1799"/>
      <c r="V153" s="1799"/>
      <c r="W153" s="1799"/>
      <c r="X153" s="1799"/>
      <c r="Y153" s="1799"/>
      <c r="Z153" s="1799"/>
      <c r="AA153" s="573"/>
      <c r="AC153"/>
      <c r="AD153"/>
    </row>
    <row r="154" spans="1:37" ht="18.75" customHeight="1" x14ac:dyDescent="0.2">
      <c r="A154" s="1245"/>
      <c r="B154" s="1838" t="s">
        <v>240</v>
      </c>
      <c r="C154" s="1830"/>
      <c r="D154" s="1846">
        <v>175</v>
      </c>
      <c r="E154" s="1840" t="s">
        <v>242</v>
      </c>
      <c r="F154" s="1"/>
      <c r="G154" s="1"/>
      <c r="H154" s="1"/>
      <c r="I154" s="1"/>
      <c r="J154" s="1"/>
      <c r="K154" s="1"/>
      <c r="L154" s="1"/>
      <c r="M154" s="1"/>
      <c r="N154" s="1"/>
      <c r="O154" s="1"/>
      <c r="P154" s="1799"/>
      <c r="Q154" s="1799"/>
      <c r="R154" s="1799"/>
      <c r="S154" s="1799"/>
      <c r="T154" s="1799"/>
      <c r="U154" s="1799"/>
      <c r="V154" s="1799"/>
      <c r="W154" s="1799"/>
      <c r="X154" s="1799"/>
      <c r="Y154" s="1799"/>
      <c r="Z154" s="1799"/>
      <c r="AA154" s="573"/>
    </row>
    <row r="155" spans="1:37" ht="35.1" customHeight="1" x14ac:dyDescent="0.2">
      <c r="A155" s="1245"/>
      <c r="B155" s="2985" t="s">
        <v>1280</v>
      </c>
      <c r="C155" s="2986"/>
      <c r="D155" s="1846"/>
      <c r="E155" s="1840" t="s">
        <v>242</v>
      </c>
      <c r="F155" s="1471" t="str">
        <f>IF(AE156=365,""," Total calendrier (Pâturage Herbe seule + Pâturage complémenté + Stabulation) = "&amp;AE156&amp;" jours")</f>
        <v/>
      </c>
      <c r="G155" s="1"/>
      <c r="H155" s="1"/>
      <c r="I155" s="1"/>
      <c r="J155" s="1"/>
      <c r="K155" s="1"/>
      <c r="L155" s="1"/>
      <c r="M155" s="1"/>
      <c r="N155" s="1"/>
      <c r="O155" s="1"/>
      <c r="P155" s="1799"/>
      <c r="Q155" s="1799"/>
      <c r="R155" s="1799"/>
      <c r="S155" s="1799"/>
      <c r="T155" s="1799"/>
      <c r="U155" s="1799"/>
      <c r="V155" s="1799"/>
      <c r="W155" s="1799"/>
      <c r="X155" s="1799"/>
      <c r="Y155" s="1799"/>
      <c r="Z155" s="1799"/>
      <c r="AA155" s="573"/>
    </row>
    <row r="156" spans="1:37" ht="18.75" customHeight="1" x14ac:dyDescent="0.2">
      <c r="A156" s="1245"/>
      <c r="B156" s="1838" t="s">
        <v>241</v>
      </c>
      <c r="C156" s="1830"/>
      <c r="D156" s="1846"/>
      <c r="E156" s="1840" t="s">
        <v>242</v>
      </c>
      <c r="F156" s="1488" t="str">
        <f>IF(AE156=365,"",AG156)</f>
        <v/>
      </c>
      <c r="G156" s="1"/>
      <c r="H156" s="1"/>
      <c r="I156" s="1"/>
      <c r="J156" s="1"/>
      <c r="K156" s="1"/>
      <c r="L156" s="1"/>
      <c r="M156" s="1"/>
      <c r="N156" s="1"/>
      <c r="O156" s="1"/>
      <c r="P156" s="1799"/>
      <c r="Q156" s="1799"/>
      <c r="R156" s="1799"/>
      <c r="S156" s="1799"/>
      <c r="T156" s="1799"/>
      <c r="U156" s="1799"/>
      <c r="V156" s="1799"/>
      <c r="W156" s="1799"/>
      <c r="X156" s="1799"/>
      <c r="Y156" s="1799"/>
      <c r="Z156" s="1799"/>
      <c r="AA156" s="573"/>
      <c r="AE156" s="1217">
        <f>IF(AVL_JoConnus=1,SUM(D148:D157)+AVL_PaHerSeu,IF(AVL_JoConnus=2,SUM(E135:E139,D153:D157)))</f>
        <v>365</v>
      </c>
      <c r="AF156" s="1217">
        <f>365-AE156</f>
        <v>0</v>
      </c>
      <c r="AG156" s="1428" t="str">
        <f>IF(AF156&lt;0,"Excès de "&amp;-AF156&amp;" jours","Il manque "&amp;AF156&amp;" jours")</f>
        <v>Il manque 0 jours</v>
      </c>
    </row>
    <row r="157" spans="1:37" ht="18.75" customHeight="1" x14ac:dyDescent="0.2">
      <c r="A157" s="1245"/>
      <c r="B157" s="1841" t="s">
        <v>1302</v>
      </c>
      <c r="C157" s="1842"/>
      <c r="D157" s="1846"/>
      <c r="E157" s="1843" t="s">
        <v>242</v>
      </c>
      <c r="F157" s="1489" t="str">
        <f>IF(AE156=365,""," ... pour compléter l'année à 365 jours")</f>
        <v/>
      </c>
      <c r="G157" s="1"/>
      <c r="H157" s="1"/>
      <c r="I157" s="1"/>
      <c r="J157" s="1"/>
      <c r="K157" s="1"/>
      <c r="L157" s="1"/>
      <c r="M157" s="1"/>
      <c r="N157" s="1"/>
      <c r="O157" s="1"/>
      <c r="P157" s="1799"/>
      <c r="Q157" s="1799"/>
      <c r="R157" s="1799"/>
      <c r="S157" s="1799"/>
      <c r="T157" s="1799"/>
      <c r="U157" s="1799"/>
      <c r="V157" s="1799"/>
      <c r="W157" s="1799"/>
      <c r="X157" s="1799"/>
      <c r="Y157" s="1799"/>
      <c r="Z157" s="1799"/>
      <c r="AA157" s="573"/>
    </row>
    <row r="158" spans="1:37" ht="6" customHeight="1" x14ac:dyDescent="0.2">
      <c r="A158" s="1245"/>
      <c r="B158" s="1"/>
      <c r="C158" s="1"/>
      <c r="D158" s="1"/>
      <c r="E158" s="1"/>
      <c r="F158" s="1"/>
      <c r="G158" s="1"/>
      <c r="H158" s="1"/>
      <c r="I158" s="1"/>
      <c r="J158" s="1"/>
      <c r="K158" s="1"/>
      <c r="L158" s="1"/>
      <c r="M158" s="1"/>
      <c r="N158" s="1"/>
      <c r="O158" s="1"/>
      <c r="P158" s="1799"/>
      <c r="Q158" s="1799"/>
      <c r="R158" s="1799"/>
      <c r="S158" s="1799"/>
      <c r="T158" s="1799"/>
      <c r="U158" s="1799"/>
      <c r="V158" s="1799"/>
      <c r="W158" s="1799"/>
      <c r="X158" s="1799"/>
      <c r="Y158" s="1799"/>
      <c r="Z158" s="1799"/>
      <c r="AA158" s="573"/>
    </row>
    <row r="159" spans="1:37" ht="18.75" customHeight="1" x14ac:dyDescent="0.2">
      <c r="A159" s="1245"/>
      <c r="B159" s="3" t="s">
        <v>2229</v>
      </c>
      <c r="C159" s="1"/>
      <c r="D159" s="1"/>
      <c r="E159" s="1"/>
      <c r="F159" s="1"/>
      <c r="G159" s="9"/>
      <c r="H159" s="9"/>
      <c r="I159" s="9"/>
      <c r="J159" s="1"/>
      <c r="K159" s="1"/>
      <c r="L159" s="1"/>
      <c r="M159" s="1"/>
      <c r="N159" s="1"/>
      <c r="O159" s="1"/>
      <c r="P159" s="1799"/>
      <c r="Q159" s="1799"/>
      <c r="R159" s="1799"/>
      <c r="S159" s="1799"/>
      <c r="T159" s="1799"/>
      <c r="U159" s="1799"/>
      <c r="V159" s="1799"/>
      <c r="W159" s="1799"/>
      <c r="X159" s="1799"/>
      <c r="Y159" s="1799"/>
      <c r="Z159" s="1799"/>
      <c r="AA159" s="573"/>
    </row>
    <row r="160" spans="1:37" ht="15" customHeight="1" x14ac:dyDescent="0.2">
      <c r="A160" s="1245"/>
      <c r="B160" s="1"/>
      <c r="C160" s="1"/>
      <c r="D160" s="1"/>
      <c r="E160" s="1"/>
      <c r="F160" s="9" t="s">
        <v>172</v>
      </c>
      <c r="G160" s="9" t="s">
        <v>173</v>
      </c>
      <c r="H160" s="2054" t="s">
        <v>174</v>
      </c>
      <c r="I160" s="1"/>
      <c r="J160" s="1"/>
      <c r="K160" s="11" t="s">
        <v>174</v>
      </c>
      <c r="L160" s="1"/>
      <c r="M160" s="1"/>
      <c r="N160" s="1"/>
      <c r="O160" s="1"/>
      <c r="P160" s="1799"/>
      <c r="Q160" s="1799"/>
      <c r="R160" s="1799"/>
      <c r="S160" s="1799"/>
      <c r="T160" s="1799"/>
      <c r="U160" s="1799"/>
      <c r="V160" s="1799"/>
      <c r="W160" s="1799"/>
      <c r="X160" s="1799"/>
      <c r="Y160" s="1799"/>
      <c r="Z160" s="1799"/>
      <c r="AA160" s="573"/>
      <c r="AB160"/>
      <c r="AC160"/>
      <c r="AD160"/>
      <c r="AE160"/>
      <c r="AF160"/>
      <c r="AG160"/>
      <c r="AH160"/>
      <c r="AI160"/>
      <c r="AJ160"/>
    </row>
    <row r="161" spans="1:36" ht="15" customHeight="1" x14ac:dyDescent="0.2">
      <c r="A161" s="1245"/>
      <c r="B161" s="1"/>
      <c r="C161" s="1"/>
      <c r="D161" s="1"/>
      <c r="E161" s="1"/>
      <c r="F161" s="9"/>
      <c r="G161" s="1243"/>
      <c r="H161" s="2054" t="str">
        <f>IF(VL_TypeVela=2,"Vel tardif",IF(VL_AgeVelPre&gt;24,"Vel Pré",""))</f>
        <v>Vel Pré</v>
      </c>
      <c r="I161" s="1"/>
      <c r="J161" s="3004" t="s">
        <v>486</v>
      </c>
      <c r="K161" s="3004"/>
      <c r="L161" s="1"/>
      <c r="M161" s="1"/>
      <c r="N161" s="1"/>
      <c r="O161" s="1"/>
      <c r="P161" s="1799"/>
      <c r="Q161" s="1799"/>
      <c r="R161" s="1799"/>
      <c r="S161" s="1799"/>
      <c r="T161" s="1799"/>
      <c r="U161" s="1799"/>
      <c r="V161" s="1799"/>
      <c r="W161" s="1799"/>
      <c r="X161" s="1799"/>
      <c r="Y161" s="1799"/>
      <c r="Z161" s="1799"/>
      <c r="AA161" s="573"/>
      <c r="AB161"/>
      <c r="AC161"/>
      <c r="AD161"/>
      <c r="AE161"/>
      <c r="AF161"/>
      <c r="AG161"/>
      <c r="AH161"/>
      <c r="AI161"/>
      <c r="AJ161"/>
    </row>
    <row r="162" spans="1:36" ht="18.75" customHeight="1" x14ac:dyDescent="0.2">
      <c r="A162" s="1245"/>
      <c r="B162" s="1"/>
      <c r="C162" s="1"/>
      <c r="D162" s="5" t="s">
        <v>176</v>
      </c>
      <c r="E162" s="1"/>
      <c r="F162" s="18">
        <v>4</v>
      </c>
      <c r="G162" s="22">
        <v>6</v>
      </c>
      <c r="H162" s="1434">
        <v>6</v>
      </c>
      <c r="I162" s="1" t="s">
        <v>175</v>
      </c>
      <c r="J162" s="1"/>
      <c r="K162" s="9"/>
      <c r="L162" s="1245"/>
      <c r="M162" s="1"/>
      <c r="N162" s="1"/>
      <c r="O162" s="1"/>
      <c r="P162" s="1799"/>
      <c r="Q162" s="1799"/>
      <c r="R162" s="1799"/>
      <c r="S162" s="1799"/>
      <c r="T162" s="1799"/>
      <c r="U162" s="1799"/>
      <c r="V162" s="1799"/>
      <c r="W162" s="1799"/>
      <c r="X162" s="1799"/>
      <c r="Y162" s="1799"/>
      <c r="Z162" s="1799"/>
      <c r="AA162" s="573"/>
      <c r="AB162"/>
      <c r="AC162"/>
      <c r="AD162"/>
      <c r="AE162"/>
      <c r="AF162"/>
      <c r="AG162"/>
      <c r="AH162"/>
      <c r="AI162"/>
      <c r="AJ162"/>
    </row>
    <row r="163" spans="1:36" ht="18.75" customHeight="1" x14ac:dyDescent="0.2">
      <c r="A163" s="1245"/>
      <c r="B163" s="1"/>
      <c r="C163" s="1"/>
      <c r="D163" s="5" t="s">
        <v>177</v>
      </c>
      <c r="E163" s="1"/>
      <c r="F163" s="1243"/>
      <c r="G163" s="569"/>
      <c r="H163" s="1250"/>
      <c r="I163" s="1"/>
      <c r="J163" s="3003" t="s">
        <v>485</v>
      </c>
      <c r="K163" s="3003"/>
      <c r="L163" s="1"/>
      <c r="M163" s="1"/>
      <c r="N163" s="1"/>
      <c r="O163" s="1"/>
      <c r="P163" s="1799"/>
      <c r="Q163" s="1799"/>
      <c r="R163" s="1799"/>
      <c r="S163" s="1799"/>
      <c r="T163" s="1799"/>
      <c r="U163" s="1799"/>
      <c r="V163" s="1799"/>
      <c r="W163" s="1799"/>
      <c r="X163" s="1799"/>
      <c r="Y163" s="1799"/>
      <c r="Z163" s="1799"/>
      <c r="AA163" s="573"/>
      <c r="AB163"/>
      <c r="AC163"/>
      <c r="AD163"/>
      <c r="AE163"/>
      <c r="AF163"/>
      <c r="AG163"/>
      <c r="AH163"/>
      <c r="AI163"/>
      <c r="AJ163"/>
    </row>
    <row r="164" spans="1:36" ht="18.75" customHeight="1" x14ac:dyDescent="0.2">
      <c r="A164" s="1245"/>
      <c r="B164" s="1"/>
      <c r="C164" s="1"/>
      <c r="D164" s="4" t="s">
        <v>265</v>
      </c>
      <c r="E164" s="1"/>
      <c r="F164" s="572"/>
      <c r="G164" s="10"/>
      <c r="H164" s="10"/>
      <c r="I164" s="1"/>
      <c r="J164" s="3003"/>
      <c r="K164" s="3003"/>
      <c r="L164" s="1"/>
      <c r="M164" s="1"/>
      <c r="N164" s="1"/>
      <c r="O164" s="1"/>
      <c r="P164" s="1799"/>
      <c r="Q164" s="1799"/>
      <c r="R164" s="1799"/>
      <c r="S164" s="1799"/>
      <c r="T164" s="1799"/>
      <c r="U164" s="1799"/>
      <c r="V164" s="1799"/>
      <c r="W164" s="1799"/>
      <c r="X164" s="1799"/>
      <c r="Y164" s="1799"/>
      <c r="Z164" s="1799"/>
      <c r="AA164" s="799" t="str">
        <f>ADDRESS(ROW(G164),COLUMN(G164))</f>
        <v>$G$164</v>
      </c>
      <c r="AB164" s="590" t="s">
        <v>488</v>
      </c>
      <c r="AC164" s="735">
        <v>1</v>
      </c>
      <c r="AD164" s="630" t="s">
        <v>496</v>
      </c>
      <c r="AE164"/>
      <c r="AF164"/>
      <c r="AG164"/>
      <c r="AH164"/>
      <c r="AI164"/>
      <c r="AJ164"/>
    </row>
    <row r="165" spans="1:36" ht="18.75" customHeight="1" x14ac:dyDescent="0.2">
      <c r="A165" s="1245"/>
      <c r="B165" s="1"/>
      <c r="C165" s="1"/>
      <c r="D165" s="4" t="s">
        <v>267</v>
      </c>
      <c r="E165" s="1"/>
      <c r="F165" s="572"/>
      <c r="G165" s="10"/>
      <c r="H165" s="10"/>
      <c r="I165" s="1"/>
      <c r="J165" s="1"/>
      <c r="K165" s="567"/>
      <c r="L165" s="1"/>
      <c r="M165" s="1"/>
      <c r="N165" s="1"/>
      <c r="O165" s="1"/>
      <c r="P165" s="1799"/>
      <c r="Q165" s="1799"/>
      <c r="R165" s="1799"/>
      <c r="S165" s="1799"/>
      <c r="T165" s="1799"/>
      <c r="U165" s="1799"/>
      <c r="V165" s="1799"/>
      <c r="W165" s="1799"/>
      <c r="X165" s="1799"/>
      <c r="Y165" s="1799"/>
      <c r="Z165" s="1799"/>
      <c r="AA165" s="799" t="str">
        <f>ADDRESS(ROW(H164),COLUMN(H164))</f>
        <v>$H$164</v>
      </c>
      <c r="AB165" s="590" t="s">
        <v>489</v>
      </c>
      <c r="AC165" s="735">
        <v>1</v>
      </c>
      <c r="AD165" s="630" t="s">
        <v>498</v>
      </c>
      <c r="AE165"/>
      <c r="AF165"/>
      <c r="AG165"/>
      <c r="AH165"/>
      <c r="AI165"/>
      <c r="AJ165"/>
    </row>
    <row r="166" spans="1:36" ht="18.75" customHeight="1" x14ac:dyDescent="0.2">
      <c r="A166" s="1245"/>
      <c r="B166" s="1"/>
      <c r="C166" s="1"/>
      <c r="D166" s="4" t="s">
        <v>269</v>
      </c>
      <c r="E166" s="1"/>
      <c r="F166" s="572"/>
      <c r="G166" s="10"/>
      <c r="H166" s="10"/>
      <c r="I166" s="1245"/>
      <c r="J166" s="1"/>
      <c r="K166" s="1"/>
      <c r="L166" s="1"/>
      <c r="M166" s="1"/>
      <c r="N166" s="1"/>
      <c r="O166" s="1"/>
      <c r="P166" s="1799"/>
      <c r="Q166" s="1799"/>
      <c r="R166" s="1799"/>
      <c r="S166" s="1799"/>
      <c r="T166" s="1799"/>
      <c r="U166" s="1799"/>
      <c r="V166" s="1799"/>
      <c r="W166" s="1799"/>
      <c r="X166" s="1799"/>
      <c r="Y166" s="1799"/>
      <c r="Z166" s="1799"/>
      <c r="AA166" s="799" t="str">
        <f>ADDRESS(ROW(L163),COLUMN(L163))</f>
        <v>$L$163</v>
      </c>
      <c r="AB166" s="590" t="s">
        <v>490</v>
      </c>
      <c r="AC166" s="735">
        <v>1</v>
      </c>
      <c r="AD166" s="630" t="s">
        <v>497</v>
      </c>
      <c r="AE166"/>
      <c r="AF166"/>
      <c r="AG166"/>
      <c r="AH166"/>
      <c r="AI166"/>
      <c r="AJ166"/>
    </row>
    <row r="167" spans="1:36" ht="6" customHeight="1" x14ac:dyDescent="0.2">
      <c r="A167" s="1245"/>
      <c r="B167" s="1"/>
      <c r="C167" s="1"/>
      <c r="D167" s="4"/>
      <c r="E167" s="1"/>
      <c r="F167" s="572"/>
      <c r="G167" s="10"/>
      <c r="H167" s="10"/>
      <c r="I167" s="1245"/>
      <c r="J167" s="1"/>
      <c r="K167" s="1"/>
      <c r="L167" s="1"/>
      <c r="M167" s="1"/>
      <c r="N167" s="1"/>
      <c r="O167" s="1"/>
      <c r="P167" s="1799"/>
      <c r="Q167" s="1799"/>
      <c r="R167" s="1799"/>
      <c r="S167" s="1799"/>
      <c r="T167" s="1799"/>
      <c r="U167" s="1799"/>
      <c r="V167" s="1799"/>
      <c r="W167" s="1799"/>
      <c r="X167" s="1799"/>
      <c r="Y167" s="1799"/>
      <c r="Z167" s="1799"/>
      <c r="AA167"/>
      <c r="AB167"/>
      <c r="AC167"/>
      <c r="AD167" s="630"/>
      <c r="AE167"/>
      <c r="AF167"/>
      <c r="AG167"/>
      <c r="AH167"/>
      <c r="AI167"/>
      <c r="AJ167"/>
    </row>
    <row r="168" spans="1:36" ht="18.75" customHeight="1" x14ac:dyDescent="0.2">
      <c r="A168" s="1245"/>
      <c r="B168" s="1"/>
      <c r="C168" s="1"/>
      <c r="D168" s="1476" t="s">
        <v>2093</v>
      </c>
      <c r="E168" s="1"/>
      <c r="F168" s="18">
        <v>150</v>
      </c>
      <c r="G168" s="2055">
        <v>100</v>
      </c>
      <c r="H168" s="1434">
        <v>150</v>
      </c>
      <c r="I168" s="1245"/>
      <c r="J168" s="1"/>
      <c r="K168" s="1"/>
      <c r="L168" s="1"/>
      <c r="M168" s="1"/>
      <c r="N168" s="1"/>
      <c r="O168" s="1"/>
      <c r="P168" s="1799"/>
      <c r="Q168" s="1799"/>
      <c r="R168" s="1799"/>
      <c r="S168" s="1799"/>
      <c r="T168" s="1799"/>
      <c r="U168" s="1799"/>
      <c r="V168" s="1799"/>
      <c r="W168" s="1799"/>
      <c r="X168" s="1799"/>
      <c r="Y168" s="1799"/>
      <c r="Z168" s="1799"/>
      <c r="AA168"/>
      <c r="AB168"/>
      <c r="AC168"/>
      <c r="AD168" s="630"/>
      <c r="AE168"/>
      <c r="AF168"/>
      <c r="AG168"/>
      <c r="AH168"/>
      <c r="AI168"/>
      <c r="AJ168"/>
    </row>
    <row r="169" spans="1:36" ht="6" customHeight="1" x14ac:dyDescent="0.2">
      <c r="A169" s="1245"/>
      <c r="B169" s="1"/>
      <c r="C169" s="1"/>
      <c r="D169" s="4"/>
      <c r="E169" s="1"/>
      <c r="F169" s="569"/>
      <c r="G169" s="571"/>
      <c r="H169" s="2058"/>
      <c r="I169" s="1247"/>
      <c r="J169" s="1"/>
      <c r="K169" s="1"/>
      <c r="L169" s="1"/>
      <c r="M169" s="1"/>
      <c r="N169" s="1"/>
      <c r="O169" s="1"/>
      <c r="P169" s="1799"/>
      <c r="Q169" s="1799"/>
      <c r="R169" s="1799"/>
      <c r="S169" s="1799"/>
      <c r="T169" s="1799"/>
      <c r="U169" s="1799"/>
      <c r="V169" s="1799"/>
      <c r="W169" s="1799"/>
      <c r="X169" s="1799"/>
      <c r="Y169" s="1799"/>
      <c r="Z169" s="1799"/>
      <c r="AA169" s="605"/>
      <c r="AB169" s="576"/>
      <c r="AC169"/>
      <c r="AD169" s="630"/>
      <c r="AE169"/>
      <c r="AF169"/>
      <c r="AG169"/>
      <c r="AH169"/>
      <c r="AI169"/>
      <c r="AJ169"/>
    </row>
    <row r="170" spans="1:36" ht="18.75" customHeight="1" x14ac:dyDescent="0.2">
      <c r="A170" s="1245"/>
      <c r="B170" s="1"/>
      <c r="C170" s="1"/>
      <c r="D170" s="5" t="s">
        <v>268</v>
      </c>
      <c r="E170" s="1"/>
      <c r="F170" s="572"/>
      <c r="G170" s="572"/>
      <c r="H170" s="1"/>
      <c r="I170" s="1245"/>
      <c r="J170" s="1478" t="s">
        <v>1751</v>
      </c>
      <c r="K170" s="1"/>
      <c r="L170" s="1"/>
      <c r="M170" s="1"/>
      <c r="N170" s="1"/>
      <c r="O170" s="1"/>
      <c r="P170" s="1799"/>
      <c r="Q170" s="1799"/>
      <c r="R170" s="1799"/>
      <c r="S170" s="1799"/>
      <c r="T170" s="1799"/>
      <c r="U170" s="1799"/>
      <c r="V170" s="1799"/>
      <c r="W170" s="1799"/>
      <c r="X170" s="1799"/>
      <c r="Y170" s="1799"/>
      <c r="Z170" s="1799"/>
      <c r="AA170" s="605"/>
      <c r="AB170" s="576"/>
      <c r="AC170"/>
      <c r="AD170" s="630"/>
      <c r="AE170"/>
      <c r="AF170"/>
      <c r="AG170"/>
      <c r="AH170"/>
      <c r="AI170"/>
      <c r="AJ170"/>
    </row>
    <row r="171" spans="1:36" ht="18.75" customHeight="1" x14ac:dyDescent="0.2">
      <c r="A171" s="1245"/>
      <c r="B171" s="1"/>
      <c r="C171" s="571"/>
      <c r="D171" s="4" t="s">
        <v>265</v>
      </c>
      <c r="E171" s="1"/>
      <c r="F171" s="1"/>
      <c r="G171" s="1"/>
      <c r="H171" s="1"/>
      <c r="I171" s="1"/>
      <c r="J171" s="1478" t="s">
        <v>2111</v>
      </c>
      <c r="K171" s="1"/>
      <c r="L171" s="1"/>
      <c r="M171" s="1"/>
      <c r="N171" s="1"/>
      <c r="O171" s="1"/>
      <c r="P171" s="1799"/>
      <c r="Q171" s="1799"/>
      <c r="R171" s="1799"/>
      <c r="S171" s="1799"/>
      <c r="T171" s="1799"/>
      <c r="U171" s="1799"/>
      <c r="V171" s="1799"/>
      <c r="W171" s="1799"/>
      <c r="X171" s="1799"/>
      <c r="Y171" s="1799"/>
      <c r="Z171" s="1799"/>
      <c r="AA171" s="799" t="str">
        <f>ADDRESS(ROW(F171),COLUMN(F171))</f>
        <v>$F$171</v>
      </c>
      <c r="AB171" s="577" t="s">
        <v>499</v>
      </c>
      <c r="AC171" s="736"/>
      <c r="AD171" s="630" t="s">
        <v>487</v>
      </c>
      <c r="AE171"/>
      <c r="AF171"/>
      <c r="AG171"/>
      <c r="AH171"/>
      <c r="AI171"/>
      <c r="AJ171"/>
    </row>
    <row r="172" spans="1:36" ht="18.75" customHeight="1" x14ac:dyDescent="0.2">
      <c r="A172" s="1245"/>
      <c r="B172" s="1"/>
      <c r="C172" s="571"/>
      <c r="D172" s="4" t="s">
        <v>267</v>
      </c>
      <c r="E172" s="1"/>
      <c r="F172" s="1"/>
      <c r="G172" s="1"/>
      <c r="H172" s="1"/>
      <c r="I172" s="1"/>
      <c r="J172" s="1478" t="s">
        <v>1055</v>
      </c>
      <c r="K172" s="1"/>
      <c r="L172" s="1"/>
      <c r="M172" s="2088" t="s">
        <v>1752</v>
      </c>
      <c r="N172" s="1624"/>
      <c r="O172" s="2088" t="s">
        <v>2162</v>
      </c>
      <c r="P172" s="1799"/>
      <c r="Q172" s="1799"/>
      <c r="R172" s="1799"/>
      <c r="S172" s="1799"/>
      <c r="T172" s="1799"/>
      <c r="U172" s="1799"/>
      <c r="V172" s="1799"/>
      <c r="W172" s="1799"/>
      <c r="X172" s="1799"/>
      <c r="Y172" s="1799"/>
      <c r="Z172" s="1799"/>
      <c r="AA172" s="799" t="str">
        <f>ADDRESS(ROW(G171),COLUMN(G171))</f>
        <v>$G$171</v>
      </c>
      <c r="AB172" s="577" t="s">
        <v>500</v>
      </c>
      <c r="AC172" s="736"/>
      <c r="AD172" s="630" t="s">
        <v>491</v>
      </c>
      <c r="AE172"/>
      <c r="AF172"/>
      <c r="AG172"/>
      <c r="AH172"/>
      <c r="AI172"/>
      <c r="AJ172"/>
    </row>
    <row r="173" spans="1:36" ht="18.75" customHeight="1" x14ac:dyDescent="0.2">
      <c r="A173" s="1245"/>
      <c r="B173" s="1"/>
      <c r="C173" s="1"/>
      <c r="D173" s="4" t="s">
        <v>269</v>
      </c>
      <c r="E173" s="1"/>
      <c r="F173" s="1"/>
      <c r="G173" s="1"/>
      <c r="H173" s="1"/>
      <c r="I173" s="1"/>
      <c r="J173" s="18">
        <v>650</v>
      </c>
      <c r="K173" s="2087" t="s">
        <v>1237</v>
      </c>
      <c r="L173" s="1476"/>
      <c r="M173" s="18">
        <v>300</v>
      </c>
      <c r="N173" s="1624" t="s">
        <v>1237</v>
      </c>
      <c r="O173" s="2113">
        <f>SUM(F168:H168)</f>
        <v>400</v>
      </c>
      <c r="P173" s="1624" t="s">
        <v>1237</v>
      </c>
      <c r="Q173" s="1799"/>
      <c r="R173" s="1799"/>
      <c r="S173" s="1799"/>
      <c r="T173" s="1799"/>
      <c r="U173" s="1799"/>
      <c r="V173" s="1799"/>
      <c r="W173" s="1799"/>
      <c r="X173" s="1799"/>
      <c r="Y173" s="1799"/>
      <c r="Z173" s="1799"/>
      <c r="AA173" s="605"/>
      <c r="AB173" s="576"/>
      <c r="AC173"/>
      <c r="AD173" s="630"/>
      <c r="AE173"/>
      <c r="AF173"/>
      <c r="AG173"/>
      <c r="AH173"/>
      <c r="AI173"/>
      <c r="AJ173"/>
    </row>
    <row r="174" spans="1:36" ht="18.75" customHeight="1" x14ac:dyDescent="0.2">
      <c r="A174" s="1245"/>
      <c r="B174" s="1"/>
      <c r="C174" s="1"/>
      <c r="D174" s="1"/>
      <c r="E174" s="1"/>
      <c r="F174" s="1243"/>
      <c r="G174" s="1244"/>
      <c r="H174" s="1"/>
      <c r="I174" s="1"/>
      <c r="J174" s="1"/>
      <c r="K174" s="1"/>
      <c r="L174" s="1"/>
      <c r="M174" s="1"/>
      <c r="N174" s="1"/>
      <c r="O174" s="1"/>
      <c r="P174" s="1799"/>
      <c r="Q174" s="1799"/>
      <c r="R174" s="1799"/>
      <c r="S174" s="1799"/>
      <c r="T174" s="1799"/>
      <c r="U174" s="1799"/>
      <c r="V174" s="1799"/>
      <c r="W174" s="1799"/>
      <c r="X174" s="1799"/>
      <c r="Y174" s="1799"/>
      <c r="Z174" s="1799"/>
      <c r="AA174" s="605"/>
      <c r="AB174" s="578"/>
      <c r="AD174" s="573"/>
    </row>
    <row r="175" spans="1:36" ht="18.75" customHeight="1" x14ac:dyDescent="0.2">
      <c r="A175" s="1245"/>
      <c r="B175" s="3" t="s">
        <v>454</v>
      </c>
      <c r="C175" s="1"/>
      <c r="D175" s="1"/>
      <c r="E175" s="1"/>
      <c r="F175" s="1"/>
      <c r="G175" s="1"/>
      <c r="H175" s="1"/>
      <c r="I175" s="1"/>
      <c r="J175" s="4" t="s">
        <v>109</v>
      </c>
      <c r="K175" s="5"/>
      <c r="L175" s="5"/>
      <c r="M175" s="5"/>
      <c r="N175" s="1"/>
      <c r="O175" s="1"/>
      <c r="P175" s="1803"/>
      <c r="Q175" s="1803"/>
      <c r="R175" s="1803"/>
      <c r="S175" s="1803"/>
      <c r="T175" s="1803"/>
      <c r="U175" s="1803"/>
      <c r="V175" s="1803"/>
      <c r="W175" s="1803"/>
      <c r="X175" s="1803"/>
      <c r="Y175" s="1803"/>
      <c r="Z175" s="1803"/>
      <c r="AA175" s="799" t="str">
        <f>ADDRESS(ROW(C176),COLUMN(C176))</f>
        <v>$C$176</v>
      </c>
      <c r="AB175" s="568" t="s">
        <v>474</v>
      </c>
      <c r="AC175" s="734">
        <v>3</v>
      </c>
      <c r="AD175" s="573" t="s">
        <v>326</v>
      </c>
    </row>
    <row r="176" spans="1:36" ht="18.75" customHeight="1" x14ac:dyDescent="0.2">
      <c r="A176" s="1245"/>
      <c r="B176" s="4" t="s">
        <v>332</v>
      </c>
      <c r="C176" s="1"/>
      <c r="D176" s="1"/>
      <c r="E176" s="1"/>
      <c r="F176" s="1"/>
      <c r="G176" s="1"/>
      <c r="H176" s="2017" t="s">
        <v>2036</v>
      </c>
      <c r="I176" s="569"/>
      <c r="J176" s="1"/>
      <c r="K176" s="1"/>
      <c r="L176" s="1245"/>
      <c r="M176" s="567"/>
      <c r="N176" s="1"/>
      <c r="O176" s="1"/>
      <c r="P176" s="1804"/>
      <c r="Q176" s="1804"/>
      <c r="R176" s="1804"/>
      <c r="S176" s="1804"/>
      <c r="T176" s="1804"/>
      <c r="U176" s="1804"/>
      <c r="V176" s="1804"/>
      <c r="W176" s="1804"/>
      <c r="X176" s="1804"/>
      <c r="Y176" s="1804"/>
      <c r="Z176" s="1804"/>
      <c r="AA176" s="799" t="str">
        <f>ADDRESS(ROW(C184),COLUMN(C184))</f>
        <v>$C$184</v>
      </c>
      <c r="AB176" s="568" t="s">
        <v>475</v>
      </c>
      <c r="AC176" s="734">
        <v>3</v>
      </c>
      <c r="AD176" s="573" t="s">
        <v>329</v>
      </c>
    </row>
    <row r="177" spans="1:33" ht="3" customHeight="1" x14ac:dyDescent="0.2">
      <c r="A177" s="1245"/>
      <c r="B177" s="4"/>
      <c r="C177" s="1"/>
      <c r="D177" s="1"/>
      <c r="E177" s="1"/>
      <c r="F177" s="1"/>
      <c r="G177" s="1"/>
      <c r="H177" s="1"/>
      <c r="I177" s="5"/>
      <c r="J177" s="1"/>
      <c r="K177" s="1"/>
      <c r="L177" s="567"/>
      <c r="M177" s="567"/>
      <c r="N177" s="1"/>
      <c r="O177" s="1"/>
      <c r="P177" s="1804"/>
      <c r="Q177" s="1804"/>
      <c r="R177" s="1804"/>
      <c r="S177" s="1804"/>
      <c r="T177" s="1804"/>
      <c r="U177" s="1804"/>
      <c r="V177" s="1804"/>
      <c r="W177" s="1804"/>
      <c r="X177" s="1804"/>
      <c r="Y177" s="1804"/>
      <c r="Z177" s="1804"/>
      <c r="AA177" s="605"/>
      <c r="AB177" s="578"/>
      <c r="AD177" s="573"/>
    </row>
    <row r="178" spans="1:33" ht="13.5" customHeight="1" x14ac:dyDescent="0.2">
      <c r="A178" s="1245"/>
      <c r="B178" s="10" t="s">
        <v>107</v>
      </c>
      <c r="C178" s="1"/>
      <c r="D178" s="1"/>
      <c r="E178" s="10" t="s">
        <v>164</v>
      </c>
      <c r="F178" s="1"/>
      <c r="G178" s="1424" t="s">
        <v>1033</v>
      </c>
      <c r="H178" s="1245"/>
      <c r="I178" s="1253" t="s">
        <v>1303</v>
      </c>
      <c r="J178" s="1"/>
      <c r="K178" s="1"/>
      <c r="L178" s="1253" t="s">
        <v>1509</v>
      </c>
      <c r="M178" s="1"/>
      <c r="N178" s="1"/>
      <c r="O178" s="1"/>
      <c r="P178" s="1804"/>
      <c r="Q178" s="1804"/>
      <c r="R178" s="1804"/>
      <c r="S178" s="1804"/>
      <c r="T178" s="1804"/>
      <c r="U178" s="1804"/>
      <c r="V178" s="1804"/>
      <c r="W178" s="1804"/>
      <c r="X178" s="1804"/>
      <c r="Y178" s="1804"/>
      <c r="Z178" s="1804"/>
      <c r="AA178" s="605"/>
      <c r="AB178" s="578"/>
      <c r="AD178" s="573"/>
    </row>
    <row r="179" spans="1:33" ht="13.5" customHeight="1" x14ac:dyDescent="0.2">
      <c r="A179" s="1245"/>
      <c r="B179" s="1330" t="s">
        <v>981</v>
      </c>
      <c r="C179" s="1"/>
      <c r="D179" s="1243"/>
      <c r="E179" s="18">
        <v>100</v>
      </c>
      <c r="F179" s="1"/>
      <c r="G179" s="18">
        <v>9</v>
      </c>
      <c r="H179" s="1" t="s">
        <v>156</v>
      </c>
      <c r="I179" s="1848">
        <f>(TA_NbVaches+0.15*(EN_NbMalAn1A+TA_NbGenAn1))/ATA_SurPat1</f>
        <v>2.7944444444444443</v>
      </c>
      <c r="J179" s="1253" t="s">
        <v>1650</v>
      </c>
      <c r="K179" s="1"/>
      <c r="L179" s="1848">
        <f>100/ATA_ChPer1</f>
        <v>35.785288270377734</v>
      </c>
      <c r="M179" s="1253" t="s">
        <v>1510</v>
      </c>
      <c r="N179" s="1"/>
      <c r="O179" s="1"/>
      <c r="P179" s="1804"/>
      <c r="Q179" s="1804"/>
      <c r="R179" s="1804"/>
      <c r="S179" s="1804"/>
      <c r="T179" s="1804"/>
      <c r="U179" s="1804"/>
      <c r="V179" s="1804"/>
      <c r="W179" s="1804"/>
      <c r="X179" s="1804"/>
      <c r="Y179" s="1804"/>
      <c r="Z179" s="1804"/>
      <c r="AA179" s="605"/>
      <c r="AB179" s="578"/>
      <c r="AD179" s="573"/>
    </row>
    <row r="180" spans="1:33" ht="13.5" customHeight="1" x14ac:dyDescent="0.2">
      <c r="A180" s="1245"/>
      <c r="B180" s="1555" t="s">
        <v>1207</v>
      </c>
      <c r="C180" s="1"/>
      <c r="D180" s="1243"/>
      <c r="E180" s="18">
        <v>51</v>
      </c>
      <c r="F180" s="1"/>
      <c r="G180" s="18">
        <v>14</v>
      </c>
      <c r="H180" s="1" t="s">
        <v>156</v>
      </c>
      <c r="I180" s="1848">
        <f>(TA_NbVaches+0.15*(EN_NbMalAn1A+TA_NbGenAn1))/ATA_SurPat2</f>
        <v>1.7964285714285713</v>
      </c>
      <c r="J180" s="1253" t="s">
        <v>1650</v>
      </c>
      <c r="K180" s="1"/>
      <c r="L180" s="1848">
        <f>100/ATA_ChPer2</f>
        <v>55.666003976143145</v>
      </c>
      <c r="M180" s="1253" t="s">
        <v>1510</v>
      </c>
      <c r="N180" s="1"/>
      <c r="O180" s="1"/>
      <c r="P180" s="1804"/>
      <c r="Q180" s="1804"/>
      <c r="R180" s="1804"/>
      <c r="S180" s="1804"/>
      <c r="T180" s="1804"/>
      <c r="U180" s="1804"/>
      <c r="V180" s="1804"/>
      <c r="W180" s="1804"/>
      <c r="X180" s="1804"/>
      <c r="Y180" s="1804"/>
      <c r="Z180" s="1804"/>
      <c r="AA180" s="1534"/>
      <c r="AB180" s="578"/>
      <c r="AD180" s="573"/>
    </row>
    <row r="181" spans="1:33" ht="13.5" customHeight="1" x14ac:dyDescent="0.2">
      <c r="A181" s="1245"/>
      <c r="B181" s="1555" t="s">
        <v>1206</v>
      </c>
      <c r="C181" s="1"/>
      <c r="D181" s="1243"/>
      <c r="E181" s="1933">
        <f>IF(M64=0,"0",IF(ISBLANK(ATA_MoHeVa),0,(ATA_MoHeVa+4)*30.25-ATA_JoPer1-ATA_JoPer2))</f>
        <v>60.75</v>
      </c>
      <c r="F181" s="1"/>
      <c r="G181" s="1849">
        <f>IF(M64=0,"0",SA_SFP_HerbeVAL)</f>
        <v>18</v>
      </c>
      <c r="H181" s="1" t="s">
        <v>156</v>
      </c>
      <c r="I181" s="1848">
        <f>(TA_NbVaches+0.15*(EN_NbMalAn1A+TA_NbGenAn1))/ATA_SurPat3</f>
        <v>1.3972222222222221</v>
      </c>
      <c r="J181" s="1253" t="s">
        <v>1650</v>
      </c>
      <c r="K181" s="1"/>
      <c r="L181" s="1848">
        <f>100/ATA_ChPer3</f>
        <v>71.570576540755468</v>
      </c>
      <c r="M181" s="1253" t="s">
        <v>1510</v>
      </c>
      <c r="N181" s="1"/>
      <c r="O181" s="1"/>
      <c r="P181" s="1804"/>
      <c r="Q181" s="1804"/>
      <c r="R181" s="1804"/>
      <c r="S181" s="1804"/>
      <c r="T181" s="1804"/>
      <c r="U181" s="1804"/>
      <c r="V181" s="1804"/>
      <c r="W181" s="1804"/>
      <c r="X181" s="1804"/>
      <c r="Y181" s="1804"/>
      <c r="Z181" s="1804"/>
      <c r="AA181" s="605"/>
      <c r="AB181" s="578"/>
      <c r="AD181" s="573"/>
    </row>
    <row r="182" spans="1:33" ht="3" customHeight="1" x14ac:dyDescent="0.2">
      <c r="A182" s="567"/>
      <c r="B182" s="567"/>
      <c r="C182" s="567"/>
      <c r="D182" s="567"/>
      <c r="E182" s="567"/>
      <c r="F182" s="567"/>
      <c r="G182" s="567"/>
      <c r="H182" s="567"/>
      <c r="I182" s="567"/>
      <c r="J182" s="567"/>
      <c r="K182" s="567"/>
      <c r="L182" s="1"/>
      <c r="M182" s="1"/>
      <c r="N182" s="1"/>
      <c r="O182" s="1"/>
      <c r="P182" s="1804"/>
      <c r="Q182" s="1804"/>
      <c r="R182" s="1804"/>
      <c r="S182" s="1804"/>
      <c r="T182" s="1804"/>
      <c r="U182" s="1804"/>
      <c r="V182" s="1804"/>
      <c r="W182" s="1804"/>
      <c r="X182" s="1804"/>
      <c r="Y182" s="1804"/>
      <c r="Z182" s="1804"/>
      <c r="AA182" s="605"/>
      <c r="AB182" s="578"/>
      <c r="AD182" s="573"/>
    </row>
    <row r="183" spans="1:33" ht="13.5" customHeight="1" x14ac:dyDescent="0.2">
      <c r="A183" s="1245"/>
      <c r="B183" s="4"/>
      <c r="C183" s="1"/>
      <c r="D183" s="1"/>
      <c r="E183" s="1"/>
      <c r="F183" s="1"/>
      <c r="G183" s="1"/>
      <c r="H183" s="1"/>
      <c r="I183" s="1385"/>
      <c r="J183" s="4" t="s">
        <v>109</v>
      </c>
      <c r="K183" s="1"/>
      <c r="L183" s="1"/>
      <c r="M183" s="1"/>
      <c r="N183" s="1"/>
      <c r="O183" s="1"/>
      <c r="P183" s="1804"/>
      <c r="Q183" s="1804"/>
      <c r="R183" s="1804"/>
      <c r="S183" s="1804"/>
      <c r="T183" s="1804"/>
      <c r="U183" s="1804"/>
      <c r="V183" s="1804"/>
      <c r="W183" s="1804"/>
      <c r="X183" s="1804"/>
      <c r="Y183" s="1804"/>
      <c r="Z183" s="1804"/>
      <c r="AA183" s="1386"/>
      <c r="AB183" s="578"/>
      <c r="AD183" s="573"/>
    </row>
    <row r="184" spans="1:33" ht="18.75" customHeight="1" x14ac:dyDescent="0.2">
      <c r="A184" s="1245"/>
      <c r="B184" s="7" t="s">
        <v>333</v>
      </c>
      <c r="C184" s="1"/>
      <c r="D184" s="1"/>
      <c r="E184" s="1"/>
      <c r="F184" s="1"/>
      <c r="G184" s="1"/>
      <c r="H184" s="2017" t="s">
        <v>2035</v>
      </c>
      <c r="I184" s="569"/>
      <c r="J184" s="1"/>
      <c r="K184" s="1"/>
      <c r="L184" s="1245"/>
      <c r="M184" s="567"/>
      <c r="N184" s="1"/>
      <c r="O184" s="1"/>
      <c r="P184" s="1804"/>
      <c r="Q184" s="1804"/>
      <c r="R184" s="1804"/>
      <c r="S184" s="1804"/>
      <c r="T184" s="1804"/>
      <c r="U184" s="1804"/>
      <c r="V184" s="1804"/>
      <c r="W184" s="1804"/>
      <c r="X184" s="1804"/>
      <c r="Y184" s="1804"/>
      <c r="Z184" s="1804"/>
      <c r="AA184" s="799" t="str">
        <f>ADDRESS(ROW(C185),COLUMN(C185))</f>
        <v>$C$185</v>
      </c>
      <c r="AB184" s="568" t="s">
        <v>476</v>
      </c>
      <c r="AC184" s="734">
        <v>3</v>
      </c>
      <c r="AD184" s="573" t="s">
        <v>330</v>
      </c>
      <c r="AE184"/>
      <c r="AF184"/>
      <c r="AG184"/>
    </row>
    <row r="185" spans="1:33" ht="18.75" customHeight="1" x14ac:dyDescent="0.2">
      <c r="A185" s="1245"/>
      <c r="B185" s="4" t="str">
        <f>IF(TA_TypeVela=2,"● génisses (année 3): mois à l'herbe","")</f>
        <v>● génisses (année 3): mois à l'herbe</v>
      </c>
      <c r="C185" s="5"/>
      <c r="D185" s="1"/>
      <c r="E185" s="1"/>
      <c r="F185" s="1"/>
      <c r="G185" s="1"/>
      <c r="H185" s="2017" t="s">
        <v>2035</v>
      </c>
      <c r="I185" s="569"/>
      <c r="J185" s="1"/>
      <c r="K185" s="1"/>
      <c r="L185" s="1245"/>
      <c r="M185" s="567"/>
      <c r="N185" s="1"/>
      <c r="O185" s="1"/>
      <c r="P185" s="1804"/>
      <c r="Q185" s="1804"/>
      <c r="R185" s="1804"/>
      <c r="S185" s="1804"/>
      <c r="T185" s="1804"/>
      <c r="U185" s="1804"/>
      <c r="V185" s="1804"/>
      <c r="W185" s="1804"/>
      <c r="X185" s="1804"/>
      <c r="Y185" s="1804"/>
      <c r="Z185" s="1804"/>
      <c r="AA185" s="799" t="str">
        <f>ADDRESS(ROW(C186),COLUMN(C186))</f>
        <v>$C$186</v>
      </c>
      <c r="AB185" s="568" t="s">
        <v>477</v>
      </c>
      <c r="AC185" s="735"/>
      <c r="AD185" s="630" t="s">
        <v>331</v>
      </c>
      <c r="AE185"/>
      <c r="AF185"/>
      <c r="AG185"/>
    </row>
    <row r="186" spans="1:33" ht="18.75" customHeight="1" x14ac:dyDescent="0.2">
      <c r="A186" s="1245"/>
      <c r="B186" s="4" t="str">
        <f>IF(TA_TypeVela=1,"● génisses (année 3): foin ou herbe ?","")</f>
        <v/>
      </c>
      <c r="C186" s="5"/>
      <c r="D186" s="1"/>
      <c r="E186" s="1"/>
      <c r="F186" s="2018" t="s">
        <v>2035</v>
      </c>
      <c r="G186" s="570"/>
      <c r="H186" s="1"/>
      <c r="I186" s="1"/>
      <c r="J186" s="1"/>
      <c r="K186" s="1"/>
      <c r="L186" s="1245"/>
      <c r="M186" s="567"/>
      <c r="N186" s="1"/>
      <c r="O186" s="1"/>
      <c r="P186" s="1804"/>
      <c r="Q186" s="1804"/>
      <c r="R186" s="1804"/>
      <c r="S186" s="1804"/>
      <c r="T186" s="1804"/>
      <c r="U186" s="1804"/>
      <c r="V186" s="1804"/>
      <c r="W186" s="1804"/>
      <c r="X186" s="1804"/>
      <c r="Y186" s="1804"/>
      <c r="Z186" s="1804"/>
      <c r="AA186" s="799" t="str">
        <f>ADDRESS(ROW(J176),COLUMN(J176))</f>
        <v>$J$176</v>
      </c>
      <c r="AB186" s="568" t="s">
        <v>478</v>
      </c>
      <c r="AC186" s="735">
        <v>2</v>
      </c>
      <c r="AD186" s="630" t="s">
        <v>334</v>
      </c>
      <c r="AE186"/>
      <c r="AF186"/>
      <c r="AG186"/>
    </row>
    <row r="187" spans="1:33" ht="3" customHeight="1" x14ac:dyDescent="0.2">
      <c r="A187" s="1245"/>
      <c r="B187" s="1"/>
      <c r="C187" s="1"/>
      <c r="D187" s="1"/>
      <c r="E187" s="1"/>
      <c r="F187" s="1"/>
      <c r="G187" s="1"/>
      <c r="H187" s="1"/>
      <c r="I187" s="1"/>
      <c r="J187" s="1"/>
      <c r="K187" s="1"/>
      <c r="L187" s="1"/>
      <c r="M187" s="1"/>
      <c r="N187" s="1"/>
      <c r="O187" s="1"/>
      <c r="P187" s="1804"/>
      <c r="Q187" s="1804"/>
      <c r="R187" s="1804"/>
      <c r="S187" s="1804"/>
      <c r="T187" s="1804"/>
      <c r="U187" s="1804"/>
      <c r="V187" s="1804"/>
      <c r="W187" s="1804"/>
      <c r="X187" s="1804"/>
      <c r="Y187" s="1804"/>
      <c r="Z187" s="1804"/>
      <c r="AA187"/>
      <c r="AB187"/>
      <c r="AC187"/>
      <c r="AD187"/>
      <c r="AE187"/>
      <c r="AF187"/>
      <c r="AG187"/>
    </row>
    <row r="188" spans="1:33" ht="18.75" customHeight="1" x14ac:dyDescent="0.2">
      <c r="A188" s="1245"/>
      <c r="B188" s="1471" t="s">
        <v>1056</v>
      </c>
      <c r="C188" s="1"/>
      <c r="D188" s="1"/>
      <c r="E188" s="1"/>
      <c r="F188" s="1253" t="s">
        <v>2094</v>
      </c>
      <c r="G188" s="1"/>
      <c r="H188" s="1476" t="s">
        <v>2095</v>
      </c>
      <c r="I188" s="1"/>
      <c r="J188" s="1478" t="s">
        <v>2096</v>
      </c>
      <c r="K188" s="1"/>
      <c r="L188" s="1"/>
      <c r="M188" s="1"/>
      <c r="N188" s="1"/>
      <c r="O188" s="1"/>
      <c r="P188" s="1804"/>
      <c r="Q188" s="1804"/>
      <c r="R188" s="1804"/>
      <c r="S188" s="1804"/>
      <c r="T188" s="1804"/>
      <c r="U188" s="1804"/>
      <c r="V188" s="1804"/>
      <c r="W188" s="1804"/>
      <c r="X188" s="1804"/>
      <c r="Y188" s="1804"/>
      <c r="Z188" s="1804"/>
      <c r="AA188" s="799" t="str">
        <f>ADDRESS(ROW(J184),COLUMN(J184))</f>
        <v>$J$184</v>
      </c>
      <c r="AB188" s="568" t="s">
        <v>479</v>
      </c>
      <c r="AC188" s="735">
        <v>2</v>
      </c>
      <c r="AD188" s="630" t="s">
        <v>335</v>
      </c>
      <c r="AE188"/>
      <c r="AF188"/>
      <c r="AG188"/>
    </row>
    <row r="189" spans="1:33" ht="18.75" customHeight="1" x14ac:dyDescent="0.2">
      <c r="A189" s="1245"/>
      <c r="B189" s="1479" t="s">
        <v>1057</v>
      </c>
      <c r="C189" s="1"/>
      <c r="D189" s="1"/>
      <c r="E189" s="1"/>
      <c r="F189" s="18">
        <v>400</v>
      </c>
      <c r="G189" s="1583"/>
      <c r="H189" s="18">
        <v>200</v>
      </c>
      <c r="I189" s="1"/>
      <c r="J189" s="18">
        <v>50</v>
      </c>
      <c r="K189" s="1"/>
      <c r="L189" s="1"/>
      <c r="M189" s="1"/>
      <c r="N189" s="1"/>
      <c r="O189" s="1"/>
      <c r="P189" s="1804"/>
      <c r="Q189" s="1804"/>
      <c r="R189" s="1804"/>
      <c r="S189" s="1804"/>
      <c r="T189" s="1804"/>
      <c r="U189" s="1804"/>
      <c r="V189" s="1804"/>
      <c r="W189" s="1804"/>
      <c r="X189" s="1804"/>
      <c r="Y189" s="1804"/>
      <c r="Z189" s="1804"/>
      <c r="AA189" s="799" t="str">
        <f>ADDRESS(ROW(J185),COLUMN(J185))</f>
        <v>$J$185</v>
      </c>
      <c r="AB189" s="568" t="s">
        <v>480</v>
      </c>
      <c r="AC189" s="735">
        <v>2</v>
      </c>
      <c r="AD189" s="630" t="s">
        <v>374</v>
      </c>
      <c r="AE189"/>
      <c r="AF189"/>
      <c r="AG189"/>
    </row>
    <row r="190" spans="1:33" ht="18.75" customHeight="1" x14ac:dyDescent="0.2">
      <c r="A190" s="1245"/>
      <c r="B190" s="1479" t="s">
        <v>1410</v>
      </c>
      <c r="C190" s="1"/>
      <c r="D190" s="1"/>
      <c r="E190" s="1"/>
      <c r="F190" s="18">
        <v>300</v>
      </c>
      <c r="G190" s="1583"/>
      <c r="H190" s="18">
        <v>200</v>
      </c>
      <c r="I190" s="1"/>
      <c r="J190" s="18">
        <v>100</v>
      </c>
      <c r="K190" s="1"/>
      <c r="L190" s="1"/>
      <c r="M190" s="1"/>
      <c r="N190" s="1"/>
      <c r="O190" s="1"/>
      <c r="P190" s="1804"/>
      <c r="Q190" s="1804"/>
      <c r="R190" s="1804"/>
      <c r="S190" s="1804"/>
      <c r="T190" s="1804"/>
      <c r="U190" s="1804"/>
      <c r="V190" s="1804"/>
      <c r="W190" s="1804"/>
      <c r="X190" s="1804"/>
      <c r="Y190" s="1804"/>
      <c r="Z190" s="1804"/>
      <c r="AA190" s="799" t="str">
        <f>ADDRESS(ROW(J186),COLUMN(J186))</f>
        <v>$J$186</v>
      </c>
      <c r="AB190" s="568" t="s">
        <v>481</v>
      </c>
      <c r="AC190" s="735">
        <v>2</v>
      </c>
      <c r="AD190" s="630" t="s">
        <v>375</v>
      </c>
      <c r="AE190"/>
      <c r="AF190"/>
      <c r="AG190"/>
    </row>
    <row r="191" spans="1:33" ht="18.75" customHeight="1" x14ac:dyDescent="0.2">
      <c r="A191" s="1245"/>
      <c r="B191" s="1479" t="s">
        <v>2344</v>
      </c>
      <c r="C191" s="1"/>
      <c r="D191" s="1"/>
      <c r="E191" s="1"/>
      <c r="F191" s="18">
        <v>180</v>
      </c>
      <c r="G191" s="1583"/>
      <c r="H191" s="18">
        <v>100</v>
      </c>
      <c r="I191" s="1"/>
      <c r="J191" s="18">
        <v>100</v>
      </c>
      <c r="K191" s="1"/>
      <c r="L191" s="1"/>
      <c r="M191" s="1"/>
      <c r="N191" s="1"/>
      <c r="O191" s="1"/>
      <c r="P191" s="1804"/>
      <c r="Q191" s="1804"/>
      <c r="R191" s="1804"/>
      <c r="S191" s="1804"/>
      <c r="T191" s="1804"/>
      <c r="U191" s="1804"/>
      <c r="V191" s="1804"/>
      <c r="W191" s="1804"/>
      <c r="X191" s="1804"/>
      <c r="Y191" s="1804"/>
      <c r="Z191" s="1804"/>
      <c r="AA191"/>
      <c r="AB191"/>
      <c r="AC191"/>
      <c r="AD191"/>
      <c r="AE191"/>
      <c r="AF191"/>
      <c r="AG191"/>
    </row>
    <row r="192" spans="1:33" ht="18.75" customHeight="1" x14ac:dyDescent="0.2">
      <c r="A192" s="1245"/>
      <c r="B192" s="1"/>
      <c r="C192" s="1"/>
      <c r="D192" s="1"/>
      <c r="E192" s="1"/>
      <c r="F192" s="1"/>
      <c r="G192" s="1"/>
      <c r="H192" s="1"/>
      <c r="I192" s="1"/>
      <c r="J192" s="1"/>
      <c r="K192" s="1"/>
      <c r="L192" s="1"/>
      <c r="M192" s="1"/>
      <c r="N192" s="1"/>
      <c r="O192" s="1"/>
      <c r="P192" s="1799"/>
      <c r="Q192" s="1799"/>
      <c r="R192" s="1799"/>
      <c r="S192" s="1799"/>
      <c r="T192" s="1799"/>
      <c r="U192" s="1799"/>
      <c r="V192" s="1799"/>
      <c r="W192" s="1799"/>
      <c r="X192" s="1799"/>
      <c r="Y192" s="1799"/>
      <c r="Z192" s="1799"/>
      <c r="AE192"/>
      <c r="AF192"/>
      <c r="AG192"/>
    </row>
    <row r="193" spans="1:33" ht="18.75" customHeight="1" x14ac:dyDescent="0.2">
      <c r="A193" s="1245"/>
      <c r="B193" s="3" t="s">
        <v>2231</v>
      </c>
      <c r="C193" s="1"/>
      <c r="D193" s="1"/>
      <c r="E193" s="1"/>
      <c r="F193" s="1"/>
      <c r="G193" s="1"/>
      <c r="H193" s="1"/>
      <c r="I193" s="1"/>
      <c r="J193" s="1"/>
      <c r="K193" s="1"/>
      <c r="L193" s="1"/>
      <c r="M193" s="1"/>
      <c r="N193" s="1"/>
      <c r="O193" s="1"/>
      <c r="P193" s="1799"/>
      <c r="Q193" s="1799"/>
      <c r="R193" s="1799"/>
      <c r="S193" s="1799"/>
      <c r="T193" s="1799"/>
      <c r="U193" s="1799"/>
      <c r="V193" s="1799"/>
      <c r="W193" s="1799"/>
      <c r="X193" s="1799"/>
      <c r="Y193" s="1799"/>
      <c r="Z193" s="1799"/>
      <c r="AE193"/>
      <c r="AF193"/>
      <c r="AG193"/>
    </row>
    <row r="194" spans="1:33" ht="18.75" customHeight="1" x14ac:dyDescent="0.2">
      <c r="A194" s="1245"/>
      <c r="B194" s="2053" t="s">
        <v>1056</v>
      </c>
      <c r="C194" s="1"/>
      <c r="D194" s="1"/>
      <c r="E194" s="1"/>
      <c r="F194" s="1253" t="s">
        <v>2094</v>
      </c>
      <c r="G194" s="1"/>
      <c r="H194" s="1476" t="s">
        <v>2095</v>
      </c>
      <c r="I194" s="1"/>
      <c r="J194" s="1478" t="s">
        <v>2096</v>
      </c>
      <c r="K194" s="1"/>
      <c r="L194" s="1"/>
      <c r="M194" s="1"/>
      <c r="N194" s="1"/>
      <c r="O194" s="1"/>
      <c r="P194" s="1799"/>
      <c r="Q194" s="1799"/>
      <c r="R194" s="1799"/>
      <c r="S194" s="1799"/>
      <c r="T194" s="1799"/>
      <c r="U194" s="1799"/>
      <c r="V194" s="1799"/>
      <c r="W194" s="1799"/>
      <c r="X194" s="1799"/>
      <c r="Y194" s="1799"/>
      <c r="Z194" s="1799"/>
      <c r="AE194"/>
      <c r="AF194"/>
      <c r="AG194"/>
    </row>
    <row r="195" spans="1:33" ht="18.75" customHeight="1" x14ac:dyDescent="0.2">
      <c r="A195" s="1245"/>
      <c r="B195" s="1479" t="s">
        <v>2137</v>
      </c>
      <c r="C195" s="1"/>
      <c r="D195" s="1"/>
      <c r="E195" s="1"/>
      <c r="F195" s="1"/>
      <c r="G195" s="1"/>
      <c r="H195" s="1"/>
      <c r="I195" s="1"/>
      <c r="J195" s="1"/>
      <c r="K195" s="1"/>
      <c r="L195" s="1"/>
      <c r="M195" s="1"/>
      <c r="N195" s="1"/>
      <c r="O195" s="1"/>
      <c r="P195" s="1799"/>
      <c r="Q195" s="1799"/>
      <c r="R195" s="1799"/>
      <c r="S195" s="1799"/>
      <c r="T195" s="1799"/>
      <c r="U195" s="1799"/>
      <c r="V195" s="1799"/>
      <c r="W195" s="1799"/>
      <c r="X195" s="1799"/>
      <c r="Y195" s="1799"/>
      <c r="Z195" s="1799"/>
      <c r="AE195"/>
      <c r="AF195"/>
      <c r="AG195"/>
    </row>
    <row r="196" spans="1:33" ht="18.75" customHeight="1" x14ac:dyDescent="0.2">
      <c r="A196" s="1245"/>
      <c r="B196" s="1479"/>
      <c r="C196" s="1253" t="s">
        <v>172</v>
      </c>
      <c r="D196" s="1"/>
      <c r="E196" s="1"/>
      <c r="F196" s="18"/>
      <c r="G196" s="1583"/>
      <c r="H196" s="18"/>
      <c r="I196" s="1"/>
      <c r="J196" s="1434"/>
      <c r="K196" s="1"/>
      <c r="L196" s="1"/>
      <c r="M196" s="1"/>
      <c r="N196" s="1"/>
      <c r="O196" s="1"/>
      <c r="P196" s="1799"/>
      <c r="Q196" s="1799"/>
      <c r="R196" s="1799"/>
      <c r="S196" s="1799"/>
      <c r="T196" s="1799"/>
      <c r="U196" s="1799"/>
      <c r="V196" s="1799"/>
      <c r="W196" s="1799"/>
      <c r="X196" s="1799"/>
      <c r="Y196" s="1799"/>
      <c r="Z196" s="1799"/>
      <c r="AE196"/>
      <c r="AF196"/>
      <c r="AG196"/>
    </row>
    <row r="197" spans="1:33" ht="18.75" customHeight="1" x14ac:dyDescent="0.2">
      <c r="A197" s="1245"/>
      <c r="B197" s="1479"/>
      <c r="C197" s="1253" t="s">
        <v>173</v>
      </c>
      <c r="D197" s="1"/>
      <c r="E197" s="1"/>
      <c r="F197" s="18"/>
      <c r="G197" s="1583"/>
      <c r="H197" s="18"/>
      <c r="I197" s="1"/>
      <c r="J197" s="1434"/>
      <c r="K197" s="1"/>
      <c r="L197" s="1"/>
      <c r="M197" s="1"/>
      <c r="N197" s="1"/>
      <c r="O197" s="1"/>
      <c r="P197" s="1799"/>
      <c r="Q197" s="1799"/>
      <c r="R197" s="1799"/>
      <c r="S197" s="1799"/>
      <c r="T197" s="1799"/>
      <c r="U197" s="1799"/>
      <c r="V197" s="1799"/>
      <c r="W197" s="1799"/>
      <c r="X197" s="1799"/>
      <c r="Y197" s="1799"/>
      <c r="Z197" s="1799"/>
      <c r="AE197"/>
      <c r="AF197"/>
      <c r="AG197"/>
    </row>
    <row r="198" spans="1:33" ht="18.75" customHeight="1" x14ac:dyDescent="0.2">
      <c r="A198" s="1245"/>
      <c r="B198" s="1479"/>
      <c r="C198" s="1253" t="s">
        <v>174</v>
      </c>
      <c r="D198" s="1"/>
      <c r="E198" s="1"/>
      <c r="F198" s="18"/>
      <c r="G198" s="1583"/>
      <c r="H198" s="18"/>
      <c r="I198" s="1"/>
      <c r="J198" s="1434"/>
      <c r="K198" s="1"/>
      <c r="L198" s="1"/>
      <c r="M198" s="1"/>
      <c r="N198" s="1"/>
      <c r="O198" s="1"/>
      <c r="P198" s="1799"/>
      <c r="Q198" s="1799"/>
      <c r="R198" s="1799"/>
      <c r="S198" s="1799"/>
      <c r="T198" s="1799"/>
      <c r="U198" s="1799"/>
      <c r="V198" s="1799"/>
      <c r="W198" s="1799"/>
      <c r="X198" s="1799"/>
      <c r="Y198" s="1799"/>
      <c r="Z198" s="1799"/>
      <c r="AE198"/>
      <c r="AF198"/>
      <c r="AG198"/>
    </row>
    <row r="199" spans="1:33" ht="18.75" customHeight="1" x14ac:dyDescent="0.2">
      <c r="A199" s="1245"/>
      <c r="B199" s="1479" t="s">
        <v>2138</v>
      </c>
      <c r="C199" s="1"/>
      <c r="D199" s="1"/>
      <c r="E199" s="1"/>
      <c r="F199" s="1"/>
      <c r="G199" s="1"/>
      <c r="H199" s="1"/>
      <c r="I199" s="1"/>
      <c r="J199" s="1"/>
      <c r="K199" s="1"/>
      <c r="L199" s="1"/>
      <c r="M199" s="1"/>
      <c r="N199" s="1"/>
      <c r="O199" s="1"/>
      <c r="P199" s="1799"/>
      <c r="Q199" s="1799"/>
      <c r="R199" s="1799"/>
      <c r="S199" s="1799"/>
      <c r="T199" s="1799"/>
      <c r="U199" s="1799"/>
      <c r="V199" s="1799"/>
      <c r="W199" s="1799"/>
      <c r="X199" s="1799"/>
      <c r="Y199" s="1799"/>
      <c r="Z199" s="1799"/>
      <c r="AE199"/>
      <c r="AF199"/>
      <c r="AG199"/>
    </row>
    <row r="200" spans="1:33" ht="18.75" customHeight="1" x14ac:dyDescent="0.2">
      <c r="A200" s="1245"/>
      <c r="B200" s="1479"/>
      <c r="C200" s="1253" t="s">
        <v>2341</v>
      </c>
      <c r="D200" s="1"/>
      <c r="E200" s="1"/>
      <c r="F200" s="18">
        <v>200</v>
      </c>
      <c r="G200" s="1583"/>
      <c r="H200" s="18">
        <v>100</v>
      </c>
      <c r="I200" s="1"/>
      <c r="J200" s="1434">
        <v>150</v>
      </c>
      <c r="K200" s="1"/>
      <c r="L200" s="1"/>
      <c r="M200" s="1"/>
      <c r="N200" s="1"/>
      <c r="O200" s="1"/>
      <c r="P200" s="1799"/>
      <c r="Q200" s="1799"/>
      <c r="R200" s="1799"/>
      <c r="S200" s="1799"/>
      <c r="T200" s="1799"/>
      <c r="U200" s="1799"/>
      <c r="V200" s="1799"/>
      <c r="W200" s="1799"/>
      <c r="X200" s="1799"/>
      <c r="Y200" s="1799"/>
      <c r="Z200" s="1799"/>
      <c r="AE200"/>
      <c r="AF200"/>
      <c r="AG200"/>
    </row>
    <row r="201" spans="1:33" ht="18.75" customHeight="1" x14ac:dyDescent="0.2">
      <c r="A201" s="1245"/>
      <c r="B201" s="1479"/>
      <c r="C201" s="1253" t="s">
        <v>173</v>
      </c>
      <c r="D201" s="1"/>
      <c r="E201" s="1"/>
      <c r="F201" s="18"/>
      <c r="G201" s="1583"/>
      <c r="H201" s="18"/>
      <c r="I201" s="1"/>
      <c r="J201" s="1434"/>
      <c r="K201" s="1"/>
      <c r="L201" s="1"/>
      <c r="M201" s="1"/>
      <c r="N201" s="1"/>
      <c r="O201" s="1"/>
      <c r="P201" s="1799"/>
      <c r="Q201" s="1799"/>
      <c r="R201" s="1799"/>
      <c r="S201" s="1799"/>
      <c r="T201" s="1799"/>
      <c r="U201" s="1799"/>
      <c r="V201" s="1799"/>
      <c r="W201" s="1799"/>
      <c r="X201" s="1799"/>
      <c r="Y201" s="1799"/>
      <c r="Z201" s="1799"/>
      <c r="AE201"/>
      <c r="AF201"/>
      <c r="AG201"/>
    </row>
    <row r="202" spans="1:33" ht="18.75" customHeight="1" x14ac:dyDescent="0.2">
      <c r="A202" s="1245"/>
      <c r="B202" s="1479"/>
      <c r="C202" s="1253" t="s">
        <v>174</v>
      </c>
      <c r="D202" s="1"/>
      <c r="E202" s="1"/>
      <c r="F202" s="18"/>
      <c r="G202" s="1583"/>
      <c r="H202" s="18"/>
      <c r="I202" s="1"/>
      <c r="J202" s="1434"/>
      <c r="K202" s="1"/>
      <c r="L202" s="1"/>
      <c r="M202" s="1"/>
      <c r="N202" s="1"/>
      <c r="O202" s="1"/>
      <c r="P202" s="1799"/>
      <c r="Q202" s="1799"/>
      <c r="R202" s="1799"/>
      <c r="S202" s="1799"/>
      <c r="T202" s="1799"/>
      <c r="U202" s="1799"/>
      <c r="V202" s="1799"/>
      <c r="W202" s="1799"/>
      <c r="X202" s="1799"/>
      <c r="Y202" s="1799"/>
      <c r="Z202" s="1799"/>
      <c r="AE202"/>
      <c r="AF202"/>
      <c r="AG202"/>
    </row>
    <row r="203" spans="1:33" ht="6" customHeight="1" x14ac:dyDescent="0.2">
      <c r="A203" s="1245"/>
      <c r="B203" s="1"/>
      <c r="C203" s="1253"/>
      <c r="D203" s="1"/>
      <c r="E203" s="1"/>
      <c r="F203" s="1"/>
      <c r="G203" s="1"/>
      <c r="H203" s="1"/>
      <c r="I203" s="1"/>
      <c r="J203" s="1"/>
      <c r="K203" s="1"/>
      <c r="L203" s="1"/>
      <c r="M203" s="1"/>
      <c r="N203" s="1"/>
      <c r="O203" s="1"/>
      <c r="P203" s="1799"/>
      <c r="Q203" s="1799"/>
      <c r="R203" s="1799"/>
      <c r="S203" s="1799"/>
      <c r="T203" s="1799"/>
      <c r="U203" s="1799"/>
      <c r="V203" s="1799"/>
      <c r="W203" s="1799"/>
      <c r="X203" s="1799"/>
      <c r="Y203" s="1799"/>
      <c r="Z203" s="1799"/>
      <c r="AE203"/>
      <c r="AF203"/>
      <c r="AG203"/>
    </row>
    <row r="204" spans="1:33" ht="18.75" customHeight="1" x14ac:dyDescent="0.2">
      <c r="A204" s="1245"/>
      <c r="B204" s="3" t="s">
        <v>1381</v>
      </c>
      <c r="C204" s="1"/>
      <c r="D204" s="1"/>
      <c r="E204" s="1"/>
      <c r="F204" s="1"/>
      <c r="G204" s="1"/>
      <c r="H204" s="1"/>
      <c r="I204" s="1"/>
      <c r="J204" s="1"/>
      <c r="K204" s="1"/>
      <c r="L204" s="1"/>
      <c r="M204" s="1"/>
      <c r="N204" s="1"/>
      <c r="O204" s="1"/>
      <c r="P204" s="1799"/>
      <c r="Q204" s="1799"/>
      <c r="R204" s="1799"/>
      <c r="S204" s="1799"/>
      <c r="T204" s="1799"/>
      <c r="U204" s="1799"/>
      <c r="V204" s="1799"/>
      <c r="W204" s="1799"/>
      <c r="X204" s="1799"/>
      <c r="Y204" s="1799"/>
      <c r="Z204" s="1799"/>
      <c r="AE204"/>
      <c r="AF204"/>
      <c r="AG204"/>
    </row>
    <row r="205" spans="1:33" ht="18.75" customHeight="1" x14ac:dyDescent="0.2">
      <c r="A205" s="1245"/>
      <c r="B205" s="1471" t="s">
        <v>2230</v>
      </c>
      <c r="C205" s="1"/>
      <c r="D205" s="1"/>
      <c r="E205" s="1"/>
      <c r="F205" s="1"/>
      <c r="G205" s="1"/>
      <c r="H205" s="1"/>
      <c r="I205" s="1"/>
      <c r="J205" s="1"/>
      <c r="K205" s="1"/>
      <c r="L205" s="1"/>
      <c r="M205" s="1481" t="s">
        <v>1058</v>
      </c>
      <c r="N205" s="1480"/>
      <c r="O205" s="1480"/>
      <c r="P205" s="1799"/>
      <c r="Q205" s="1799"/>
      <c r="R205" s="1799"/>
      <c r="S205" s="1799"/>
      <c r="T205" s="1799"/>
      <c r="U205" s="1799"/>
      <c r="V205" s="1799"/>
      <c r="W205" s="1799"/>
      <c r="X205" s="1799"/>
      <c r="Y205" s="1799"/>
      <c r="Z205" s="1799"/>
      <c r="AE205"/>
      <c r="AF205"/>
      <c r="AG205"/>
    </row>
    <row r="206" spans="1:33" ht="18.75" customHeight="1" x14ac:dyDescent="0.2">
      <c r="A206" s="1245"/>
      <c r="B206" s="1471" t="s">
        <v>1315</v>
      </c>
      <c r="C206" s="1"/>
      <c r="D206" s="1"/>
      <c r="E206" s="1"/>
      <c r="F206" s="1"/>
      <c r="G206" s="1"/>
      <c r="H206" s="1244"/>
      <c r="I206" s="1" t="s">
        <v>614</v>
      </c>
      <c r="J206" s="1"/>
      <c r="K206" s="1162"/>
      <c r="L206" s="1481"/>
      <c r="M206" s="1481" t="s">
        <v>2241</v>
      </c>
      <c r="N206" s="1480" t="s">
        <v>1379</v>
      </c>
      <c r="O206" s="1480" t="s">
        <v>2112</v>
      </c>
      <c r="P206" s="1799"/>
      <c r="Q206" s="2112"/>
      <c r="R206" s="1799"/>
      <c r="S206" s="1799"/>
      <c r="T206" s="1799"/>
      <c r="U206" s="1799"/>
      <c r="V206" s="1799"/>
      <c r="W206" s="1799"/>
      <c r="X206" s="1799"/>
      <c r="Y206" s="1799"/>
      <c r="Z206" s="1799"/>
      <c r="AA206" s="799" t="str">
        <f>ADDRESS(ROW(E206),COLUMN(E206))</f>
        <v>$E$206</v>
      </c>
      <c r="AB206" s="568" t="s">
        <v>482</v>
      </c>
      <c r="AC206" s="735"/>
      <c r="AD206" s="630" t="s">
        <v>337</v>
      </c>
      <c r="AE206"/>
      <c r="AF206"/>
      <c r="AG206"/>
    </row>
    <row r="207" spans="1:33" ht="18.75" customHeight="1" x14ac:dyDescent="0.2">
      <c r="A207" s="1245"/>
      <c r="B207" s="1471" t="s">
        <v>1380</v>
      </c>
      <c r="C207" s="1"/>
      <c r="D207" s="1"/>
      <c r="E207" s="1"/>
      <c r="F207" s="1"/>
      <c r="G207" s="1"/>
      <c r="H207" s="1244"/>
      <c r="I207" s="1"/>
      <c r="J207" s="1"/>
      <c r="K207" s="1"/>
      <c r="L207" s="1"/>
      <c r="M207" s="1481" t="s">
        <v>2242</v>
      </c>
      <c r="N207" s="1480" t="s">
        <v>1750</v>
      </c>
      <c r="O207" s="1480" t="s">
        <v>2113</v>
      </c>
      <c r="P207" s="1799"/>
      <c r="Q207" s="1799"/>
      <c r="R207" s="1799"/>
      <c r="S207" s="1799"/>
      <c r="T207" s="1799"/>
      <c r="U207" s="1799"/>
      <c r="V207" s="1799"/>
      <c r="W207" s="1799"/>
      <c r="X207" s="1799"/>
      <c r="Y207" s="1799"/>
      <c r="Z207" s="1799"/>
      <c r="AA207"/>
      <c r="AB207" s="568"/>
      <c r="AC207" s="568"/>
      <c r="AD207" s="630"/>
      <c r="AE207"/>
      <c r="AF207"/>
      <c r="AG207"/>
    </row>
    <row r="208" spans="1:33" ht="18.75" customHeight="1" x14ac:dyDescent="0.2">
      <c r="A208" s="1245"/>
      <c r="B208" s="1471" t="s">
        <v>1478</v>
      </c>
      <c r="C208" s="1"/>
      <c r="D208" s="1"/>
      <c r="E208" s="1"/>
      <c r="F208" s="1"/>
      <c r="G208" s="1"/>
      <c r="H208" s="1244"/>
      <c r="I208" s="1"/>
      <c r="J208" s="1"/>
      <c r="K208" s="1"/>
      <c r="L208" s="1481" t="s">
        <v>503</v>
      </c>
      <c r="M208" s="1162"/>
      <c r="N208" s="1162"/>
      <c r="O208" s="1162"/>
      <c r="P208" s="1799"/>
      <c r="Q208" s="1799"/>
      <c r="R208" s="1799"/>
      <c r="S208" s="1799"/>
      <c r="T208" s="1799"/>
      <c r="U208" s="1799"/>
      <c r="V208" s="1799"/>
      <c r="W208" s="1799"/>
      <c r="X208" s="1799"/>
      <c r="Y208" s="1799"/>
      <c r="Z208" s="1799"/>
      <c r="AA208"/>
      <c r="AB208"/>
      <c r="AC208"/>
      <c r="AD208"/>
      <c r="AE208"/>
      <c r="AF208"/>
      <c r="AG208"/>
    </row>
    <row r="209" spans="1:33" ht="18.75" customHeight="1" x14ac:dyDescent="0.2">
      <c r="A209" s="1245"/>
      <c r="B209" s="1471"/>
      <c r="C209" s="1476" t="s">
        <v>1526</v>
      </c>
      <c r="D209" s="1"/>
      <c r="E209" s="1"/>
      <c r="F209" s="1"/>
      <c r="G209" s="1"/>
      <c r="H209" s="1244"/>
      <c r="I209" s="1"/>
      <c r="J209" s="1"/>
      <c r="K209" s="1"/>
      <c r="L209" s="1481"/>
      <c r="M209" s="1481"/>
      <c r="N209" s="1481"/>
      <c r="O209" s="1481"/>
      <c r="P209" s="1799"/>
      <c r="Q209" s="1799"/>
      <c r="R209" s="1799"/>
      <c r="S209" s="1799"/>
      <c r="T209" s="1799"/>
      <c r="U209" s="1799"/>
      <c r="V209" s="1799"/>
      <c r="W209" s="1799"/>
      <c r="X209" s="1799"/>
      <c r="Y209" s="1799"/>
      <c r="Z209" s="1799"/>
      <c r="AA209"/>
      <c r="AB209" s="568" t="s">
        <v>1482</v>
      </c>
      <c r="AC209" s="735"/>
      <c r="AD209" s="1514" t="s">
        <v>1487</v>
      </c>
      <c r="AE209"/>
      <c r="AF209"/>
      <c r="AG209"/>
    </row>
    <row r="210" spans="1:33" ht="18.75" customHeight="1" x14ac:dyDescent="0.2">
      <c r="A210" s="1245"/>
      <c r="B210" s="1471"/>
      <c r="C210" s="1476" t="s">
        <v>1527</v>
      </c>
      <c r="D210" s="18"/>
      <c r="E210" s="1253" t="s">
        <v>1528</v>
      </c>
      <c r="F210" s="1"/>
      <c r="G210" s="1"/>
      <c r="H210" s="1244"/>
      <c r="I210" s="1"/>
      <c r="J210" s="1"/>
      <c r="K210" s="1"/>
      <c r="L210" s="1481"/>
      <c r="M210" s="1481"/>
      <c r="N210" s="1481"/>
      <c r="O210" s="1481"/>
      <c r="P210" s="1799"/>
      <c r="Q210" s="1799"/>
      <c r="R210" s="1799"/>
      <c r="S210" s="1799"/>
      <c r="T210" s="1799"/>
      <c r="U210" s="1799"/>
      <c r="V210" s="1799"/>
      <c r="W210" s="1799"/>
      <c r="X210" s="1799"/>
      <c r="Y210" s="1799"/>
      <c r="Z210" s="1799"/>
      <c r="AA210"/>
      <c r="AB210" s="568"/>
      <c r="AC210" s="568"/>
      <c r="AD210" s="1514"/>
      <c r="AE210"/>
      <c r="AF210"/>
      <c r="AG210"/>
    </row>
    <row r="211" spans="1:33" ht="18.75" customHeight="1" x14ac:dyDescent="0.2">
      <c r="A211" s="1245"/>
      <c r="B211" s="1471" t="s">
        <v>1479</v>
      </c>
      <c r="C211" s="1"/>
      <c r="D211" s="1"/>
      <c r="E211" s="1"/>
      <c r="F211" s="1"/>
      <c r="G211" s="1"/>
      <c r="H211" s="1244"/>
      <c r="I211" s="1"/>
      <c r="J211" s="1"/>
      <c r="K211" s="1"/>
      <c r="L211" s="1481" t="s">
        <v>502</v>
      </c>
      <c r="M211" s="1162"/>
      <c r="N211" s="1162"/>
      <c r="O211" s="1162"/>
      <c r="P211" s="1799"/>
      <c r="Q211" s="1799"/>
      <c r="R211" s="1799"/>
      <c r="S211" s="1799"/>
      <c r="T211" s="1799"/>
      <c r="U211" s="1799"/>
      <c r="V211" s="1799"/>
      <c r="W211" s="1799"/>
      <c r="X211" s="1799"/>
      <c r="Y211" s="1799"/>
      <c r="Z211" s="1799"/>
      <c r="AA211"/>
      <c r="AB211"/>
      <c r="AC211"/>
      <c r="AD211"/>
      <c r="AE211"/>
      <c r="AF211"/>
      <c r="AG211"/>
    </row>
    <row r="212" spans="1:33" ht="18.75" customHeight="1" x14ac:dyDescent="0.2">
      <c r="A212" s="1245"/>
      <c r="B212" s="1471"/>
      <c r="C212" s="1476" t="s">
        <v>1526</v>
      </c>
      <c r="D212" s="1"/>
      <c r="E212" s="1"/>
      <c r="F212" s="1"/>
      <c r="G212" s="1"/>
      <c r="H212" s="1244"/>
      <c r="I212" s="1"/>
      <c r="J212" s="1"/>
      <c r="K212" s="1"/>
      <c r="L212" s="1481"/>
      <c r="M212" s="1481"/>
      <c r="N212" s="1481"/>
      <c r="O212" s="1481"/>
      <c r="P212" s="1799"/>
      <c r="Q212" s="1799"/>
      <c r="R212" s="1799"/>
      <c r="S212" s="1799"/>
      <c r="T212" s="1799"/>
      <c r="U212" s="1799"/>
      <c r="V212" s="1799"/>
      <c r="W212" s="1799"/>
      <c r="X212" s="1799"/>
      <c r="Y212" s="1799"/>
      <c r="Z212" s="1799"/>
      <c r="AA212"/>
      <c r="AB212" s="568" t="s">
        <v>1481</v>
      </c>
      <c r="AC212" s="735"/>
      <c r="AD212" s="1514" t="s">
        <v>1486</v>
      </c>
      <c r="AE212"/>
      <c r="AF212"/>
      <c r="AG212"/>
    </row>
    <row r="213" spans="1:33" ht="18.75" customHeight="1" x14ac:dyDescent="0.2">
      <c r="A213" s="1245"/>
      <c r="B213" s="1471"/>
      <c r="C213" s="1476" t="s">
        <v>1480</v>
      </c>
      <c r="D213" s="18"/>
      <c r="E213" s="1253" t="s">
        <v>1651</v>
      </c>
      <c r="F213" s="1"/>
      <c r="G213" s="1"/>
      <c r="H213" s="1244"/>
      <c r="I213" s="1"/>
      <c r="J213" s="1"/>
      <c r="K213" s="1"/>
      <c r="L213" s="1481"/>
      <c r="M213" s="1481" t="s">
        <v>1058</v>
      </c>
      <c r="N213" s="1480" t="s">
        <v>1379</v>
      </c>
      <c r="O213" s="1480" t="s">
        <v>1379</v>
      </c>
      <c r="P213" s="1799"/>
      <c r="Q213" s="1799"/>
      <c r="R213" s="1799"/>
      <c r="S213" s="1799"/>
      <c r="T213" s="1799"/>
      <c r="U213" s="1799"/>
      <c r="V213" s="1799"/>
      <c r="W213" s="1799"/>
      <c r="X213" s="1799"/>
      <c r="Y213" s="1799"/>
      <c r="Z213" s="1799"/>
      <c r="AA213"/>
      <c r="AB213" s="568"/>
      <c r="AC213" s="568"/>
      <c r="AD213" s="568"/>
      <c r="AE213"/>
      <c r="AF213"/>
      <c r="AG213"/>
    </row>
    <row r="214" spans="1:33" ht="18.75" customHeight="1" x14ac:dyDescent="0.2">
      <c r="A214" s="1245"/>
      <c r="B214" s="2109" t="s">
        <v>2208</v>
      </c>
      <c r="C214" s="1"/>
      <c r="D214" s="1"/>
      <c r="E214" s="1"/>
      <c r="F214" s="1"/>
      <c r="G214" s="1"/>
      <c r="H214" s="1247"/>
      <c r="I214" s="5"/>
      <c r="J214" s="1"/>
      <c r="K214" s="1"/>
      <c r="L214" s="1482"/>
      <c r="M214" s="1481" t="s">
        <v>1378</v>
      </c>
      <c r="N214" s="1480" t="s">
        <v>1750</v>
      </c>
      <c r="O214" s="1480" t="s">
        <v>2113</v>
      </c>
      <c r="P214" s="1799"/>
      <c r="Q214" s="1799"/>
      <c r="R214" s="1799"/>
      <c r="S214" s="1799"/>
      <c r="T214" s="1799"/>
      <c r="U214" s="1799"/>
      <c r="V214" s="1799"/>
      <c r="W214" s="1799"/>
      <c r="X214" s="1799"/>
      <c r="Y214" s="1799"/>
      <c r="Z214" s="1799"/>
      <c r="AA214" s="605"/>
      <c r="AB214" s="578"/>
      <c r="AC214"/>
      <c r="AD214" s="630"/>
      <c r="AE214"/>
      <c r="AF214"/>
      <c r="AG214"/>
    </row>
    <row r="215" spans="1:33" ht="18.75" customHeight="1" x14ac:dyDescent="0.2">
      <c r="A215" s="1245"/>
      <c r="B215" s="2056" t="s">
        <v>2209</v>
      </c>
      <c r="C215" s="1"/>
      <c r="D215" s="1"/>
      <c r="E215" s="1"/>
      <c r="F215" s="1"/>
      <c r="G215" s="1"/>
      <c r="H215" s="1247"/>
      <c r="I215" s="2057"/>
      <c r="J215" s="1"/>
      <c r="K215" s="1"/>
      <c r="L215" s="1481" t="s">
        <v>172</v>
      </c>
      <c r="M215" s="1162"/>
      <c r="N215" s="1162"/>
      <c r="O215" s="2113">
        <f>IF(ISBLANK(AEN_ConcGen1L),0,AGL_ConAn1)</f>
        <v>0</v>
      </c>
      <c r="P215" s="1799"/>
      <c r="Q215" s="1799"/>
      <c r="R215" s="1799"/>
      <c r="S215" s="1799"/>
      <c r="T215" s="1799"/>
      <c r="U215" s="1799"/>
      <c r="V215" s="1799"/>
      <c r="W215" s="1799"/>
      <c r="X215" s="1799"/>
      <c r="Y215" s="1799"/>
      <c r="Z215" s="1799"/>
      <c r="AA215" s="1686"/>
      <c r="AB215" s="578"/>
      <c r="AC215"/>
      <c r="AD215" s="630"/>
      <c r="AE215"/>
      <c r="AF215"/>
      <c r="AG215"/>
    </row>
    <row r="216" spans="1:33" ht="18.75" customHeight="1" x14ac:dyDescent="0.2">
      <c r="A216" s="1245"/>
      <c r="B216" s="2056" t="s">
        <v>2210</v>
      </c>
      <c r="C216" s="1"/>
      <c r="D216" s="1"/>
      <c r="E216" s="1"/>
      <c r="F216" s="1"/>
      <c r="G216" s="1"/>
      <c r="H216" s="1247"/>
      <c r="I216" s="2057"/>
      <c r="J216" s="1"/>
      <c r="K216" s="1"/>
      <c r="L216" s="1481" t="s">
        <v>173</v>
      </c>
      <c r="M216" s="1162"/>
      <c r="N216" s="1162"/>
      <c r="O216" s="1162"/>
      <c r="P216" s="1799"/>
      <c r="Q216" s="1799"/>
      <c r="R216" s="1799"/>
      <c r="S216" s="1799"/>
      <c r="T216" s="1799"/>
      <c r="U216" s="1799"/>
      <c r="V216" s="1799"/>
      <c r="W216" s="1799"/>
      <c r="X216" s="1799"/>
      <c r="Y216" s="1799"/>
      <c r="Z216" s="1799"/>
      <c r="AA216" s="1686"/>
      <c r="AB216" s="578"/>
      <c r="AC216"/>
      <c r="AD216" s="630"/>
      <c r="AE216"/>
      <c r="AF216"/>
      <c r="AG216"/>
    </row>
    <row r="217" spans="1:33" ht="18.75" customHeight="1" x14ac:dyDescent="0.2">
      <c r="A217" s="1245"/>
      <c r="B217" s="2109" t="s">
        <v>2211</v>
      </c>
      <c r="C217" s="1"/>
      <c r="D217" s="1"/>
      <c r="E217" s="1"/>
      <c r="F217" s="1"/>
      <c r="G217" s="1"/>
      <c r="H217" s="1244"/>
      <c r="I217" s="1" t="s">
        <v>614</v>
      </c>
      <c r="J217" s="1"/>
      <c r="K217" s="1162"/>
      <c r="L217" s="1481" t="s">
        <v>174</v>
      </c>
      <c r="M217" s="1162"/>
      <c r="N217" s="1162"/>
      <c r="O217" s="1162"/>
      <c r="P217" s="1799"/>
      <c r="Q217" s="1799"/>
      <c r="R217" s="1799"/>
      <c r="S217" s="1799"/>
      <c r="T217" s="1799"/>
      <c r="U217" s="1799"/>
      <c r="V217" s="1799"/>
      <c r="W217" s="1799"/>
      <c r="X217" s="1799"/>
      <c r="Y217" s="1799"/>
      <c r="Z217" s="1799"/>
      <c r="AA217" s="799" t="str">
        <f>ADDRESS(ROW(E217),COLUMN(E217))</f>
        <v>$E$217</v>
      </c>
      <c r="AB217" s="568" t="s">
        <v>2212</v>
      </c>
      <c r="AC217" s="735"/>
      <c r="AD217" s="1514" t="s">
        <v>2215</v>
      </c>
      <c r="AE217"/>
      <c r="AF217"/>
      <c r="AG217"/>
    </row>
    <row r="218" spans="1:33" ht="18.75" customHeight="1" x14ac:dyDescent="0.2">
      <c r="A218" s="1245"/>
      <c r="B218" s="2109" t="s">
        <v>2213</v>
      </c>
      <c r="C218" s="1"/>
      <c r="D218" s="1"/>
      <c r="E218" s="1"/>
      <c r="F218" s="1"/>
      <c r="G218" s="1"/>
      <c r="H218" s="1247"/>
      <c r="I218" s="2111"/>
      <c r="J218" s="1"/>
      <c r="K218" s="1"/>
      <c r="L218" s="1482"/>
      <c r="M218" s="1481"/>
      <c r="N218" s="1480"/>
      <c r="O218" s="1480"/>
      <c r="P218" s="1799"/>
      <c r="Q218" s="1799"/>
      <c r="R218" s="1799"/>
      <c r="S218" s="1799"/>
      <c r="T218" s="1799"/>
      <c r="U218" s="1799"/>
      <c r="V218" s="1799"/>
      <c r="W218" s="1799"/>
      <c r="X218" s="1799"/>
      <c r="Y218" s="1799"/>
      <c r="Z218" s="1799"/>
      <c r="AA218"/>
      <c r="AB218" s="568"/>
      <c r="AC218" s="568"/>
      <c r="AD218" s="630"/>
      <c r="AE218"/>
      <c r="AF218"/>
      <c r="AG218"/>
    </row>
    <row r="219" spans="1:33" ht="18.75" customHeight="1" x14ac:dyDescent="0.2">
      <c r="A219" s="1245"/>
      <c r="B219" s="2109" t="s">
        <v>2209</v>
      </c>
      <c r="C219" s="1"/>
      <c r="D219" s="1"/>
      <c r="E219" s="1"/>
      <c r="F219" s="1"/>
      <c r="G219" s="1"/>
      <c r="H219" s="1247"/>
      <c r="I219" s="2111"/>
      <c r="J219" s="1"/>
      <c r="K219" s="1"/>
      <c r="L219" s="1481" t="s">
        <v>172</v>
      </c>
      <c r="M219" s="1162"/>
      <c r="N219" s="1162"/>
      <c r="O219" s="2113">
        <f>IF(ISBLANK(AEN_ConcGen1A),0,ATA_ConcBrPat)</f>
        <v>0</v>
      </c>
      <c r="P219" s="1799"/>
      <c r="Q219" s="1799"/>
      <c r="R219" s="1799"/>
      <c r="S219" s="1799"/>
      <c r="T219" s="1799"/>
      <c r="U219" s="1799"/>
      <c r="V219" s="1799"/>
      <c r="W219" s="1799"/>
      <c r="X219" s="1799"/>
      <c r="Y219" s="1799"/>
      <c r="Z219" s="1799"/>
      <c r="AA219"/>
      <c r="AB219" s="568"/>
      <c r="AC219" s="568"/>
      <c r="AD219" s="630"/>
      <c r="AE219"/>
      <c r="AF219"/>
      <c r="AG219"/>
    </row>
    <row r="220" spans="1:33" ht="18.75" customHeight="1" x14ac:dyDescent="0.2">
      <c r="A220" s="1245"/>
      <c r="B220" s="2109" t="s">
        <v>2210</v>
      </c>
      <c r="C220" s="1"/>
      <c r="D220" s="1"/>
      <c r="E220" s="1"/>
      <c r="F220" s="1"/>
      <c r="G220" s="1"/>
      <c r="H220" s="1247"/>
      <c r="I220" s="2111"/>
      <c r="J220" s="1"/>
      <c r="K220" s="1"/>
      <c r="L220" s="1481" t="s">
        <v>173</v>
      </c>
      <c r="M220" s="1162"/>
      <c r="N220" s="1162"/>
      <c r="O220" s="1162"/>
      <c r="P220" s="1799"/>
      <c r="Q220" s="1799"/>
      <c r="R220" s="1799"/>
      <c r="S220" s="1799"/>
      <c r="T220" s="1799"/>
      <c r="U220" s="1799"/>
      <c r="V220" s="1799"/>
      <c r="W220" s="1799"/>
      <c r="X220" s="1799"/>
      <c r="Y220" s="1799"/>
      <c r="Z220" s="1799"/>
      <c r="AA220"/>
      <c r="AB220" s="568"/>
      <c r="AC220" s="568"/>
      <c r="AD220" s="630"/>
      <c r="AE220"/>
      <c r="AF220"/>
      <c r="AG220"/>
    </row>
    <row r="221" spans="1:33" ht="18.75" customHeight="1" x14ac:dyDescent="0.2">
      <c r="A221" s="1245"/>
      <c r="B221" s="2109" t="s">
        <v>2211</v>
      </c>
      <c r="C221" s="1"/>
      <c r="D221" s="1"/>
      <c r="E221" s="1"/>
      <c r="F221" s="1"/>
      <c r="G221" s="1"/>
      <c r="H221" s="1244"/>
      <c r="I221" s="1" t="s">
        <v>614</v>
      </c>
      <c r="J221" s="1"/>
      <c r="K221" s="1162"/>
      <c r="L221" s="1481" t="s">
        <v>174</v>
      </c>
      <c r="M221" s="1162"/>
      <c r="N221" s="1162"/>
      <c r="O221" s="1162"/>
      <c r="P221" s="1799"/>
      <c r="Q221" s="1799"/>
      <c r="R221" s="1799"/>
      <c r="S221" s="1799"/>
      <c r="T221" s="1799"/>
      <c r="U221" s="1799"/>
      <c r="V221" s="1799"/>
      <c r="W221" s="1799"/>
      <c r="X221" s="1799"/>
      <c r="Y221" s="1799"/>
      <c r="Z221" s="1799"/>
      <c r="AA221" s="799" t="str">
        <f>ADDRESS(ROW(E221),COLUMN(E221))</f>
        <v>$E$221</v>
      </c>
      <c r="AB221" s="568" t="s">
        <v>2214</v>
      </c>
      <c r="AC221" s="735"/>
      <c r="AD221" s="1514" t="s">
        <v>2216</v>
      </c>
      <c r="AE221"/>
      <c r="AF221"/>
      <c r="AG221"/>
    </row>
    <row r="222" spans="1:33" ht="18.75" customHeight="1" x14ac:dyDescent="0.2">
      <c r="A222" s="1245"/>
      <c r="B222" s="7" t="s">
        <v>323</v>
      </c>
      <c r="C222" s="1"/>
      <c r="D222" s="1"/>
      <c r="E222" s="1"/>
      <c r="F222" s="1"/>
      <c r="G222" s="1"/>
      <c r="H222" s="1247"/>
      <c r="I222" s="1"/>
      <c r="J222" s="1"/>
      <c r="K222" s="1"/>
      <c r="L222" s="1482"/>
      <c r="M222" s="1"/>
      <c r="N222" s="1"/>
      <c r="O222" s="1"/>
      <c r="P222" s="1799"/>
      <c r="Q222" s="1799"/>
      <c r="R222" s="1799"/>
      <c r="S222" s="1799"/>
      <c r="T222" s="1799"/>
      <c r="U222" s="1799"/>
      <c r="V222" s="1799"/>
      <c r="W222" s="1799"/>
      <c r="X222" s="1799"/>
      <c r="Y222" s="1799"/>
      <c r="Z222" s="1799"/>
      <c r="AA222" s="605"/>
      <c r="AB222" s="578"/>
      <c r="AC222"/>
      <c r="AD222" s="630"/>
      <c r="AE222"/>
      <c r="AF222"/>
      <c r="AG222"/>
    </row>
    <row r="223" spans="1:33" ht="18.75" customHeight="1" x14ac:dyDescent="0.2">
      <c r="A223" s="1245"/>
      <c r="B223" s="7" t="s">
        <v>324</v>
      </c>
      <c r="C223" s="1"/>
      <c r="D223" s="1"/>
      <c r="E223" s="1"/>
      <c r="F223" s="1"/>
      <c r="G223" s="1"/>
      <c r="H223" s="1244"/>
      <c r="I223" s="569"/>
      <c r="J223" s="1"/>
      <c r="K223" s="1"/>
      <c r="L223" s="1481" t="s">
        <v>78</v>
      </c>
      <c r="M223" s="1162">
        <v>300</v>
      </c>
      <c r="N223" s="1162">
        <v>250</v>
      </c>
      <c r="O223" s="1162">
        <v>300</v>
      </c>
      <c r="P223" s="1799"/>
      <c r="Q223" s="1799"/>
      <c r="R223" s="1799"/>
      <c r="S223" s="1799"/>
      <c r="T223" s="1799"/>
      <c r="U223" s="1799"/>
      <c r="V223" s="1799"/>
      <c r="W223" s="1799"/>
      <c r="X223" s="1799"/>
      <c r="Y223" s="1799"/>
      <c r="Z223" s="1799"/>
      <c r="AA223" s="799" t="str">
        <f>ADDRESS(ROW(C223),COLUMN(C223))</f>
        <v>$C$223</v>
      </c>
      <c r="AB223" s="568" t="s">
        <v>483</v>
      </c>
      <c r="AC223" s="735">
        <v>3</v>
      </c>
      <c r="AD223" s="630" t="s">
        <v>338</v>
      </c>
      <c r="AE223"/>
      <c r="AF223"/>
      <c r="AG223"/>
    </row>
    <row r="224" spans="1:33" ht="18.75" customHeight="1" x14ac:dyDescent="0.2">
      <c r="A224" s="1245"/>
      <c r="B224" s="7" t="s">
        <v>325</v>
      </c>
      <c r="C224" s="1"/>
      <c r="D224" s="1"/>
      <c r="E224" s="1"/>
      <c r="F224" s="1"/>
      <c r="G224" s="1"/>
      <c r="H224" s="1244"/>
      <c r="I224" s="569"/>
      <c r="J224" s="1"/>
      <c r="K224" s="1"/>
      <c r="L224" s="1481" t="s">
        <v>79</v>
      </c>
      <c r="M224" s="1162">
        <v>300</v>
      </c>
      <c r="N224" s="1162">
        <v>250</v>
      </c>
      <c r="O224" s="1162">
        <v>300</v>
      </c>
      <c r="P224" s="1799"/>
      <c r="Q224" s="1799"/>
      <c r="R224" s="1799"/>
      <c r="S224" s="1799"/>
      <c r="T224" s="1799"/>
      <c r="U224" s="1799"/>
      <c r="V224" s="1799"/>
      <c r="W224" s="1799"/>
      <c r="X224" s="1799"/>
      <c r="Y224" s="1799"/>
      <c r="Z224" s="1799"/>
      <c r="AA224" s="799" t="str">
        <f>ADDRESS(ROW(C224),COLUMN(C224))</f>
        <v>$C$224</v>
      </c>
      <c r="AB224" s="568" t="s">
        <v>919</v>
      </c>
      <c r="AC224" s="735">
        <v>3</v>
      </c>
      <c r="AD224" s="630" t="s">
        <v>920</v>
      </c>
      <c r="AE224"/>
      <c r="AF224"/>
      <c r="AG224"/>
    </row>
    <row r="225" spans="1:33" ht="3" customHeight="1" x14ac:dyDescent="0.2">
      <c r="A225" s="1245"/>
      <c r="B225" s="1"/>
      <c r="C225" s="1"/>
      <c r="D225" s="1"/>
      <c r="E225" s="1"/>
      <c r="F225" s="1"/>
      <c r="G225" s="1"/>
      <c r="H225" s="1"/>
      <c r="I225" s="1"/>
      <c r="J225" s="1"/>
      <c r="K225" s="1"/>
      <c r="L225" s="1482"/>
      <c r="M225" s="1"/>
      <c r="N225" s="1"/>
      <c r="O225" s="1"/>
      <c r="P225" s="1799"/>
      <c r="Q225" s="1799"/>
      <c r="R225" s="1799"/>
      <c r="S225" s="1799"/>
      <c r="T225" s="1799"/>
      <c r="U225" s="1799"/>
      <c r="V225" s="1799"/>
      <c r="W225" s="1799"/>
      <c r="X225" s="1799"/>
      <c r="Y225" s="1799"/>
      <c r="Z225" s="1799"/>
      <c r="AA225" s="573"/>
      <c r="AC225"/>
      <c r="AD225"/>
      <c r="AE225"/>
      <c r="AF225"/>
      <c r="AG225"/>
    </row>
    <row r="226" spans="1:33" ht="12.75" customHeight="1" x14ac:dyDescent="0.2">
      <c r="A226" s="1245"/>
      <c r="B226" s="1"/>
      <c r="C226" s="1"/>
      <c r="D226" s="1"/>
      <c r="E226" s="1"/>
      <c r="F226" s="1"/>
      <c r="G226" s="1"/>
      <c r="H226" s="1"/>
      <c r="I226" s="1"/>
      <c r="J226" s="1"/>
      <c r="K226" s="1"/>
      <c r="L226" s="1"/>
      <c r="M226" s="1"/>
      <c r="N226" s="1"/>
      <c r="O226" s="1"/>
      <c r="P226" s="1799"/>
      <c r="Q226" s="1799"/>
      <c r="R226" s="1799"/>
      <c r="S226" s="1799"/>
      <c r="T226" s="1799"/>
      <c r="U226" s="1799"/>
      <c r="V226" s="1799"/>
      <c r="W226" s="1799"/>
      <c r="X226" s="1799"/>
      <c r="Y226" s="1799"/>
      <c r="Z226" s="1799"/>
      <c r="AA226" s="573"/>
      <c r="AC226"/>
      <c r="AD226"/>
      <c r="AE226"/>
      <c r="AF226"/>
      <c r="AG226"/>
    </row>
    <row r="227" spans="1:33" ht="12.75" customHeight="1" x14ac:dyDescent="0.2">
      <c r="A227" s="1245"/>
      <c r="B227" s="3" t="s">
        <v>1777</v>
      </c>
      <c r="C227" s="1"/>
      <c r="D227" s="1"/>
      <c r="E227" s="1"/>
      <c r="F227" s="1"/>
      <c r="G227" s="1"/>
      <c r="H227" s="1"/>
      <c r="I227" s="1"/>
      <c r="J227" s="1"/>
      <c r="K227" s="1"/>
      <c r="L227" s="1"/>
      <c r="M227" s="1"/>
      <c r="N227" s="1"/>
      <c r="O227" s="1"/>
      <c r="P227" s="1799"/>
      <c r="Q227" s="1799"/>
      <c r="R227" s="1799"/>
      <c r="S227" s="1799"/>
      <c r="T227" s="1799"/>
      <c r="U227" s="1799"/>
      <c r="V227" s="1799"/>
      <c r="W227" s="1799"/>
      <c r="X227" s="1799"/>
      <c r="Y227" s="1799"/>
      <c r="Z227" s="1799"/>
      <c r="AA227" s="573"/>
      <c r="AC227"/>
      <c r="AD227"/>
      <c r="AE227"/>
      <c r="AF227"/>
      <c r="AG227"/>
    </row>
    <row r="228" spans="1:33" ht="12.75" customHeight="1" x14ac:dyDescent="0.2">
      <c r="A228" s="1245"/>
      <c r="B228" s="1"/>
      <c r="C228" s="1"/>
      <c r="D228" s="1"/>
      <c r="E228" s="1"/>
      <c r="F228" s="1"/>
      <c r="G228" s="3000" t="s">
        <v>1775</v>
      </c>
      <c r="H228" s="3000"/>
      <c r="I228" s="3000"/>
      <c r="J228" s="3000"/>
      <c r="K228" s="1"/>
      <c r="L228" s="1"/>
      <c r="M228" s="1"/>
      <c r="N228" s="1"/>
      <c r="O228" s="1"/>
      <c r="P228" s="1799"/>
      <c r="Q228" s="1799"/>
      <c r="R228" s="1799"/>
      <c r="S228" s="1799"/>
      <c r="T228" s="1799"/>
      <c r="U228" s="1799"/>
      <c r="V228" s="1799"/>
      <c r="W228" s="1799"/>
      <c r="X228" s="1799"/>
      <c r="Y228" s="1799"/>
      <c r="Z228" s="1799"/>
      <c r="AA228" s="573"/>
      <c r="AC228"/>
      <c r="AD228"/>
      <c r="AE228"/>
      <c r="AF228"/>
      <c r="AG228"/>
    </row>
    <row r="229" spans="1:33" ht="25.5" customHeight="1" x14ac:dyDescent="0.2">
      <c r="A229" s="1245"/>
      <c r="B229" s="1"/>
      <c r="C229" s="1"/>
      <c r="D229" s="1"/>
      <c r="E229" s="3005" t="s">
        <v>1774</v>
      </c>
      <c r="F229" s="3005"/>
      <c r="G229" s="2982" t="s">
        <v>1776</v>
      </c>
      <c r="H229" s="2982"/>
      <c r="I229" s="2982" t="s">
        <v>1778</v>
      </c>
      <c r="J229" s="2982"/>
      <c r="K229" s="1"/>
      <c r="L229" s="9" t="s">
        <v>244</v>
      </c>
      <c r="M229" s="1"/>
      <c r="N229" s="1"/>
      <c r="O229" s="1"/>
      <c r="P229" s="1799"/>
      <c r="Q229" s="1799"/>
      <c r="R229" s="1799"/>
      <c r="S229" s="1799"/>
      <c r="T229" s="1799"/>
      <c r="U229" s="1799"/>
      <c r="V229" s="1799"/>
      <c r="W229" s="1799"/>
      <c r="X229" s="1799"/>
      <c r="Y229" s="1799"/>
      <c r="Z229" s="1799"/>
      <c r="AA229" s="573"/>
      <c r="AC229"/>
      <c r="AD229"/>
      <c r="AE229"/>
      <c r="AF229"/>
      <c r="AG229"/>
    </row>
    <row r="230" spans="1:33" ht="12.75" customHeight="1" x14ac:dyDescent="0.2">
      <c r="A230" s="1245"/>
      <c r="B230" s="1330" t="s">
        <v>981</v>
      </c>
      <c r="C230" s="1"/>
      <c r="D230" s="1243"/>
      <c r="E230" s="18">
        <v>10</v>
      </c>
      <c r="F230" s="1" t="s">
        <v>156</v>
      </c>
      <c r="G230" s="1849">
        <f>AVL_Surpat1</f>
        <v>12</v>
      </c>
      <c r="H230" s="1" t="s">
        <v>156</v>
      </c>
      <c r="I230" s="1849">
        <f>ATA_SurPat1</f>
        <v>9</v>
      </c>
      <c r="J230" s="1" t="s">
        <v>156</v>
      </c>
      <c r="K230" s="1"/>
      <c r="L230" s="1849">
        <f>CCP_SurPat1+G230+I230</f>
        <v>31</v>
      </c>
      <c r="M230" s="1"/>
      <c r="N230" s="1"/>
      <c r="O230" s="1"/>
      <c r="P230" s="1799"/>
      <c r="Q230" s="1799"/>
      <c r="R230" s="1799"/>
      <c r="S230" s="1799"/>
      <c r="T230" s="1799"/>
      <c r="U230" s="1799"/>
      <c r="V230" s="1799"/>
      <c r="W230" s="1799"/>
      <c r="X230" s="1799"/>
      <c r="Y230" s="1799"/>
      <c r="Z230" s="1799"/>
      <c r="AA230" s="573"/>
      <c r="AC230"/>
      <c r="AD230"/>
      <c r="AE230"/>
      <c r="AF230"/>
      <c r="AG230"/>
    </row>
    <row r="231" spans="1:33" ht="12.75" customHeight="1" x14ac:dyDescent="0.2">
      <c r="A231" s="1245"/>
      <c r="B231" s="1555" t="s">
        <v>1207</v>
      </c>
      <c r="C231" s="1"/>
      <c r="D231" s="1243"/>
      <c r="E231" s="18">
        <v>15</v>
      </c>
      <c r="F231" s="1" t="s">
        <v>156</v>
      </c>
      <c r="G231" s="1849">
        <f>AVL_SurPat2</f>
        <v>18</v>
      </c>
      <c r="H231" s="1" t="s">
        <v>156</v>
      </c>
      <c r="I231" s="1849">
        <f>ATA_SurPat2</f>
        <v>14</v>
      </c>
      <c r="J231" s="1" t="s">
        <v>156</v>
      </c>
      <c r="K231" s="1"/>
      <c r="L231" s="1849">
        <f>CCP_SurPat2+G231+I231</f>
        <v>47</v>
      </c>
      <c r="M231" s="1"/>
      <c r="N231" s="1"/>
      <c r="O231" s="1"/>
      <c r="P231" s="1799"/>
      <c r="Q231" s="1799"/>
      <c r="R231" s="1799"/>
      <c r="S231" s="1799"/>
      <c r="T231" s="1799"/>
      <c r="U231" s="1799"/>
      <c r="V231" s="1799"/>
      <c r="W231" s="1799"/>
      <c r="X231" s="1799"/>
      <c r="Y231" s="1799"/>
      <c r="Z231" s="1799"/>
      <c r="AA231" s="573"/>
      <c r="AC231"/>
      <c r="AD231"/>
      <c r="AE231"/>
      <c r="AF231"/>
      <c r="AG231"/>
    </row>
    <row r="232" spans="1:33" ht="12.75" customHeight="1" x14ac:dyDescent="0.2">
      <c r="A232" s="1245"/>
      <c r="B232" s="1555" t="s">
        <v>1206</v>
      </c>
      <c r="C232" s="1"/>
      <c r="D232" s="1243"/>
      <c r="E232" s="1932">
        <f>H26</f>
        <v>21</v>
      </c>
      <c r="F232" s="1" t="s">
        <v>156</v>
      </c>
      <c r="G232" s="1849">
        <f>AVL_SurPat3</f>
        <v>26</v>
      </c>
      <c r="H232" s="1" t="s">
        <v>156</v>
      </c>
      <c r="I232" s="1849">
        <f>ATA_SurPat3</f>
        <v>18</v>
      </c>
      <c r="J232" s="1" t="s">
        <v>156</v>
      </c>
      <c r="K232" s="1"/>
      <c r="L232" s="1849">
        <f>CCP_SurPat3+G232+I232</f>
        <v>65</v>
      </c>
      <c r="M232" s="1"/>
      <c r="N232" s="1"/>
      <c r="O232" s="1"/>
      <c r="P232" s="1799"/>
      <c r="Q232" s="1799"/>
      <c r="R232" s="1799"/>
      <c r="S232" s="1799"/>
      <c r="T232" s="1799"/>
      <c r="U232" s="1799"/>
      <c r="V232" s="1799"/>
      <c r="W232" s="1799"/>
      <c r="X232" s="1799"/>
      <c r="Y232" s="1799"/>
      <c r="Z232" s="1799"/>
      <c r="AA232" s="573"/>
      <c r="AC232"/>
      <c r="AD232"/>
      <c r="AE232"/>
      <c r="AF232"/>
      <c r="AG232"/>
    </row>
    <row r="233" spans="1:33" ht="12.75" customHeight="1" x14ac:dyDescent="0.2">
      <c r="A233" s="1245"/>
      <c r="B233" s="1"/>
      <c r="C233" s="1"/>
      <c r="D233" s="1"/>
      <c r="E233" s="1"/>
      <c r="F233" s="1"/>
      <c r="G233" s="1"/>
      <c r="H233" s="1"/>
      <c r="I233" s="1"/>
      <c r="J233" s="1"/>
      <c r="K233" s="1"/>
      <c r="L233" s="1"/>
      <c r="M233" s="1"/>
      <c r="N233" s="1"/>
      <c r="O233" s="1"/>
      <c r="P233" s="1799"/>
      <c r="Q233" s="1799"/>
      <c r="R233" s="1799"/>
      <c r="S233" s="1799"/>
      <c r="T233" s="1799"/>
      <c r="U233" s="1799"/>
      <c r="V233" s="1799"/>
      <c r="W233" s="1799"/>
      <c r="X233" s="1799"/>
      <c r="Y233" s="1799"/>
      <c r="Z233" s="1799"/>
      <c r="AA233" s="573"/>
      <c r="AC233"/>
      <c r="AD233"/>
      <c r="AE233"/>
      <c r="AF233"/>
      <c r="AG233"/>
    </row>
    <row r="234" spans="1:33" ht="18.75" customHeight="1" x14ac:dyDescent="0.2">
      <c r="A234" s="1245"/>
      <c r="B234" s="3" t="s">
        <v>1275</v>
      </c>
      <c r="C234" s="1"/>
      <c r="D234" s="1"/>
      <c r="E234" s="1"/>
      <c r="F234" s="1"/>
      <c r="G234" s="1"/>
      <c r="H234" s="1"/>
      <c r="I234" s="1"/>
      <c r="J234" s="1"/>
      <c r="K234" s="1"/>
      <c r="L234" s="1"/>
      <c r="M234" s="1"/>
      <c r="N234" s="1"/>
      <c r="O234" s="1"/>
      <c r="P234" s="1799"/>
      <c r="Q234" s="1799"/>
      <c r="R234" s="1799"/>
      <c r="S234" s="1799"/>
      <c r="T234" s="1799"/>
      <c r="U234" s="1799"/>
      <c r="V234" s="1799"/>
      <c r="W234" s="1799"/>
      <c r="X234" s="1799"/>
      <c r="Y234" s="1799"/>
      <c r="Z234" s="1799"/>
      <c r="AA234" s="573"/>
    </row>
    <row r="235" spans="1:33" ht="5.0999999999999996" customHeight="1" x14ac:dyDescent="0.2">
      <c r="A235" s="1245"/>
      <c r="B235" s="3"/>
      <c r="C235" s="1"/>
      <c r="D235" s="1"/>
      <c r="E235" s="1"/>
      <c r="F235" s="1"/>
      <c r="G235" s="1"/>
      <c r="H235" s="1"/>
      <c r="I235" s="1"/>
      <c r="J235" s="1"/>
      <c r="K235" s="1"/>
      <c r="L235" s="1"/>
      <c r="M235" s="1"/>
      <c r="N235" s="1"/>
      <c r="O235" s="1"/>
      <c r="P235" s="1799"/>
      <c r="Q235" s="1799"/>
      <c r="R235" s="1799"/>
      <c r="S235" s="1799"/>
      <c r="T235" s="1799"/>
      <c r="U235" s="1799"/>
      <c r="V235" s="1799"/>
      <c r="W235" s="1799"/>
      <c r="X235" s="1799"/>
      <c r="Y235" s="1799"/>
      <c r="Z235" s="1799"/>
      <c r="AA235" s="573"/>
    </row>
    <row r="236" spans="1:33" ht="12.75" customHeight="1" x14ac:dyDescent="0.2">
      <c r="A236" s="1245"/>
      <c r="B236" s="2146" t="s">
        <v>2307</v>
      </c>
      <c r="C236" s="1"/>
      <c r="D236" s="1"/>
      <c r="E236" s="1"/>
      <c r="F236" s="1"/>
      <c r="G236" s="1"/>
      <c r="H236" s="1"/>
      <c r="I236" s="1"/>
      <c r="J236" s="1"/>
      <c r="K236" s="1"/>
      <c r="L236" s="1"/>
      <c r="M236" s="1"/>
      <c r="N236" s="1"/>
      <c r="O236" s="1"/>
      <c r="P236" s="1799"/>
      <c r="Q236" s="1799"/>
      <c r="R236" s="1799"/>
      <c r="S236" s="1799"/>
      <c r="T236" s="1799"/>
      <c r="U236" s="1799"/>
      <c r="V236" s="1799"/>
      <c r="W236" s="1799"/>
      <c r="X236" s="1799"/>
      <c r="Y236" s="1799"/>
      <c r="Z236" s="1799"/>
      <c r="AA236" s="573"/>
    </row>
    <row r="237" spans="1:33" ht="42" customHeight="1" x14ac:dyDescent="0.2">
      <c r="A237" s="1245"/>
      <c r="B237" s="3001" t="s">
        <v>2308</v>
      </c>
      <c r="C237" s="3001"/>
      <c r="D237" s="3001"/>
      <c r="E237" s="3001"/>
      <c r="F237" s="3001"/>
      <c r="G237" s="3001"/>
      <c r="H237" s="3001"/>
      <c r="I237" s="3001"/>
      <c r="J237" s="3001"/>
      <c r="K237" s="3001"/>
      <c r="L237" s="3001"/>
      <c r="M237" s="1"/>
      <c r="N237" s="1"/>
      <c r="O237" s="1"/>
      <c r="P237" s="1799"/>
      <c r="Q237" s="1799"/>
      <c r="R237" s="1799"/>
      <c r="S237" s="1799"/>
      <c r="T237" s="1799"/>
      <c r="U237" s="1799"/>
      <c r="V237" s="1799"/>
      <c r="W237" s="1799"/>
      <c r="X237" s="1799"/>
      <c r="Y237" s="1799"/>
      <c r="Z237" s="1799"/>
      <c r="AA237" s="573"/>
    </row>
    <row r="238" spans="1:33" ht="30" customHeight="1" x14ac:dyDescent="0.2">
      <c r="A238" s="1245"/>
      <c r="B238" s="3002" t="s">
        <v>2309</v>
      </c>
      <c r="C238" s="3002"/>
      <c r="D238" s="3002"/>
      <c r="E238" s="3002"/>
      <c r="F238" s="3002"/>
      <c r="G238" s="3002"/>
      <c r="H238" s="3002"/>
      <c r="I238" s="3002"/>
      <c r="J238" s="3002"/>
      <c r="K238" s="3002"/>
      <c r="L238" s="3002"/>
      <c r="M238" s="1"/>
      <c r="N238" s="1"/>
      <c r="O238" s="1"/>
      <c r="P238" s="1799"/>
      <c r="Q238" s="1799"/>
      <c r="R238" s="1799"/>
      <c r="S238" s="1799"/>
      <c r="T238" s="1799"/>
      <c r="U238" s="1799"/>
      <c r="V238" s="1799"/>
      <c r="W238" s="1799"/>
      <c r="X238" s="1799"/>
      <c r="Y238" s="1799"/>
      <c r="Z238" s="1799"/>
      <c r="AA238" s="573"/>
    </row>
    <row r="239" spans="1:33" ht="18.75" customHeight="1" x14ac:dyDescent="0.2">
      <c r="A239" s="1245"/>
      <c r="B239" s="599" t="s">
        <v>982</v>
      </c>
      <c r="C239" s="1"/>
      <c r="D239" s="1"/>
      <c r="E239" s="1"/>
      <c r="F239" s="1"/>
      <c r="G239" s="1"/>
      <c r="H239" s="1"/>
      <c r="I239" s="1"/>
      <c r="J239" s="1"/>
      <c r="K239" s="1"/>
      <c r="L239" s="1"/>
      <c r="M239" s="1"/>
      <c r="N239" s="1"/>
      <c r="O239" s="1"/>
      <c r="P239" s="1799"/>
      <c r="Q239" s="1799"/>
      <c r="R239" s="1799"/>
      <c r="S239" s="1799"/>
      <c r="T239" s="1799"/>
      <c r="U239" s="1799"/>
      <c r="V239" s="1799"/>
      <c r="W239" s="1799"/>
      <c r="X239" s="1799"/>
      <c r="Y239" s="1799"/>
      <c r="Z239" s="1799"/>
      <c r="AA239" s="573"/>
    </row>
    <row r="240" spans="1:33" ht="18.75" customHeight="1" x14ac:dyDescent="0.2">
      <c r="A240" s="1245"/>
      <c r="B240" s="7" t="s">
        <v>1034</v>
      </c>
      <c r="C240" s="1"/>
      <c r="D240" s="19"/>
      <c r="E240" s="1"/>
      <c r="F240" s="1"/>
      <c r="G240" s="1"/>
      <c r="H240" s="1"/>
      <c r="I240" s="1"/>
      <c r="J240" s="1"/>
      <c r="K240" s="1"/>
      <c r="L240" s="1"/>
      <c r="M240" s="1"/>
      <c r="N240" s="1"/>
      <c r="O240" s="1"/>
      <c r="P240" s="1799"/>
      <c r="Q240" s="1799"/>
      <c r="R240" s="1799"/>
      <c r="S240" s="1799"/>
      <c r="T240" s="1799"/>
      <c r="U240" s="1799"/>
      <c r="V240" s="1799"/>
      <c r="W240" s="1799"/>
      <c r="X240" s="1799"/>
      <c r="Y240" s="1799"/>
      <c r="Z240" s="1799"/>
      <c r="AA240" s="573"/>
    </row>
    <row r="241" spans="1:38" ht="3" customHeight="1" x14ac:dyDescent="0.2">
      <c r="A241" s="1245"/>
      <c r="B241" s="3"/>
      <c r="C241" s="1"/>
      <c r="D241" s="1"/>
      <c r="E241" s="1"/>
      <c r="F241" s="1"/>
      <c r="G241" s="1"/>
      <c r="H241" s="1"/>
      <c r="I241" s="1"/>
      <c r="J241" s="1"/>
      <c r="K241" s="1"/>
      <c r="L241" s="1"/>
      <c r="M241" s="1"/>
      <c r="N241" s="1"/>
      <c r="O241" s="1"/>
      <c r="P241" s="1799"/>
      <c r="Q241" s="1799"/>
      <c r="R241" s="1799"/>
      <c r="S241" s="1799"/>
      <c r="T241" s="1799"/>
      <c r="U241" s="1799"/>
      <c r="V241" s="1799"/>
      <c r="W241" s="1799"/>
      <c r="X241" s="1799"/>
      <c r="Y241" s="1799"/>
      <c r="Z241" s="1799"/>
      <c r="AA241" s="573"/>
    </row>
    <row r="242" spans="1:38" ht="13.5" customHeight="1" x14ac:dyDescent="0.2">
      <c r="A242" s="1245"/>
      <c r="B242" s="3"/>
      <c r="C242" s="1"/>
      <c r="D242" s="3000" t="s">
        <v>203</v>
      </c>
      <c r="E242" s="3000"/>
      <c r="F242" s="10"/>
      <c r="G242" s="1"/>
      <c r="H242" s="1478"/>
      <c r="I242" s="1"/>
      <c r="J242" s="1478" t="s">
        <v>2000</v>
      </c>
      <c r="K242" s="1"/>
      <c r="L242" s="1"/>
      <c r="M242" s="1"/>
      <c r="N242" s="1"/>
      <c r="O242" s="1"/>
      <c r="P242" s="1799"/>
      <c r="Q242" s="1799"/>
      <c r="R242" s="1799"/>
      <c r="S242" s="1799"/>
      <c r="T242" s="1799"/>
      <c r="U242" s="1799"/>
      <c r="V242" s="1799"/>
      <c r="W242" s="1799"/>
      <c r="X242" s="1799"/>
      <c r="Y242" s="1799"/>
      <c r="Z242" s="1799"/>
      <c r="AA242" s="573"/>
    </row>
    <row r="243" spans="1:38" ht="18.75" customHeight="1" x14ac:dyDescent="0.2">
      <c r="A243" s="1245"/>
      <c r="B243" s="599" t="s">
        <v>985</v>
      </c>
      <c r="C243" s="1"/>
      <c r="D243" s="1234" t="s">
        <v>204</v>
      </c>
      <c r="E243" s="1234" t="s">
        <v>205</v>
      </c>
      <c r="F243" s="10"/>
      <c r="G243" s="2997" t="s">
        <v>1999</v>
      </c>
      <c r="H243" s="2997"/>
      <c r="I243" s="2997"/>
      <c r="J243" s="1478" t="s">
        <v>2001</v>
      </c>
      <c r="K243" s="1"/>
      <c r="L243" s="9" t="s">
        <v>244</v>
      </c>
      <c r="M243" s="1"/>
      <c r="N243" s="1"/>
      <c r="O243" s="1"/>
      <c r="P243" s="1799"/>
      <c r="Q243" s="1799"/>
      <c r="R243" s="1799"/>
      <c r="S243" s="1799"/>
      <c r="T243" s="1799"/>
      <c r="U243" s="1799"/>
      <c r="V243" s="1799"/>
      <c r="W243" s="1799"/>
      <c r="X243" s="1799"/>
      <c r="Y243" s="1799"/>
      <c r="Z243" s="1799"/>
      <c r="AA243" s="573"/>
    </row>
    <row r="244" spans="1:38" ht="18.75" customHeight="1" x14ac:dyDescent="0.2">
      <c r="A244" s="1245"/>
      <c r="B244" s="1991" t="s">
        <v>1986</v>
      </c>
      <c r="C244" s="1"/>
      <c r="D244" s="19"/>
      <c r="E244" s="19"/>
      <c r="F244" s="10"/>
      <c r="G244" s="2990"/>
      <c r="H244" s="2990"/>
      <c r="I244" s="2990"/>
      <c r="J244" s="19"/>
      <c r="K244" s="1"/>
      <c r="L244" s="1849">
        <f>HS_PorTruCla+HS_PorTruBi</f>
        <v>0</v>
      </c>
      <c r="M244" s="1"/>
      <c r="N244" s="2012"/>
      <c r="O244" s="1"/>
      <c r="P244" s="1799"/>
      <c r="Q244" s="1799"/>
      <c r="R244" s="1799"/>
      <c r="S244" s="1799"/>
      <c r="T244" s="1799"/>
      <c r="U244" s="1799"/>
      <c r="V244" s="1799"/>
      <c r="W244" s="1799"/>
      <c r="X244" s="1799"/>
      <c r="Y244" s="1799"/>
      <c r="Z244" s="1799"/>
      <c r="AA244" s="573"/>
      <c r="AF244" s="1353" t="s">
        <v>895</v>
      </c>
      <c r="AG244" s="1353" t="s">
        <v>999</v>
      </c>
      <c r="AH244" s="1353" t="s">
        <v>999</v>
      </c>
    </row>
    <row r="245" spans="1:38" ht="18.75" customHeight="1" x14ac:dyDescent="0.2">
      <c r="A245" s="1245"/>
      <c r="B245" s="7" t="s">
        <v>983</v>
      </c>
      <c r="C245" s="1"/>
      <c r="D245" s="19"/>
      <c r="E245" s="19"/>
      <c r="F245" s="10"/>
      <c r="G245" s="2990"/>
      <c r="H245" s="2990"/>
      <c r="I245" s="2990"/>
      <c r="J245" s="19"/>
      <c r="K245" s="1"/>
      <c r="L245" s="1849">
        <f>HS_PorLetCla+HS_PorLetBi</f>
        <v>0</v>
      </c>
      <c r="M245" s="2011"/>
      <c r="N245" s="2012"/>
      <c r="O245" s="1"/>
      <c r="P245" s="1799"/>
      <c r="Q245" s="1799"/>
      <c r="R245" s="1799"/>
      <c r="S245" s="1799"/>
      <c r="T245" s="1799"/>
      <c r="U245" s="1799"/>
      <c r="V245" s="1799"/>
      <c r="W245" s="1799"/>
      <c r="X245" s="1799"/>
      <c r="Y245" s="1799"/>
      <c r="Z245" s="1799"/>
      <c r="AA245" s="573"/>
      <c r="AF245" s="1353" t="s">
        <v>247</v>
      </c>
      <c r="AG245" s="1922" t="s">
        <v>1985</v>
      </c>
      <c r="AH245" s="1922" t="s">
        <v>996</v>
      </c>
      <c r="AJ245" s="2010">
        <f>AJ246+AJ247</f>
        <v>0</v>
      </c>
      <c r="AL245" s="2010">
        <f>AL246+AL247</f>
        <v>0</v>
      </c>
    </row>
    <row r="246" spans="1:38" ht="18.75" customHeight="1" x14ac:dyDescent="0.2">
      <c r="A246" s="1245"/>
      <c r="B246" s="7" t="s">
        <v>984</v>
      </c>
      <c r="C246" s="1"/>
      <c r="D246" s="19"/>
      <c r="E246" s="19"/>
      <c r="F246" s="10"/>
      <c r="G246" s="2990"/>
      <c r="H246" s="2990"/>
      <c r="I246" s="2990"/>
      <c r="J246" s="19"/>
      <c r="K246" s="1"/>
      <c r="L246" s="2014">
        <f>HS_PorCrFCla+HS_PorCrFBi</f>
        <v>0</v>
      </c>
      <c r="M246" s="2991" t="str">
        <f>IF(AJ245=0,"","La phase solide du Raclage en V contient "&amp;ROUND(AL245,0)&amp;" kg de N exportable")</f>
        <v/>
      </c>
      <c r="N246" s="2992"/>
      <c r="O246" s="1"/>
      <c r="P246" s="1799"/>
      <c r="Q246" s="1799"/>
      <c r="R246" s="1799"/>
      <c r="S246" s="1799"/>
      <c r="T246" s="1799"/>
      <c r="U246" s="1799"/>
      <c r="V246" s="1799"/>
      <c r="W246" s="1799"/>
      <c r="X246" s="1799"/>
      <c r="Y246" s="1799"/>
      <c r="Z246" s="1799"/>
      <c r="AA246" s="573"/>
      <c r="AG246" s="1353" t="s">
        <v>996</v>
      </c>
      <c r="AH246" s="1353" t="s">
        <v>997</v>
      </c>
      <c r="AJ246" s="1733">
        <f>IF(G246=AG$245,Porcs!N8,0)</f>
        <v>0</v>
      </c>
      <c r="AK246" s="1733">
        <f>IF(J246=AF$244,Paramètres!FC16,Paramètres!FB16)</f>
        <v>0.56999999999999995</v>
      </c>
      <c r="AL246" s="1733">
        <f>AJ246*AK246</f>
        <v>0</v>
      </c>
    </row>
    <row r="247" spans="1:38" ht="18.75" customHeight="1" x14ac:dyDescent="0.2">
      <c r="A247" s="1245"/>
      <c r="B247" s="1991" t="s">
        <v>1987</v>
      </c>
      <c r="C247" s="1"/>
      <c r="D247" s="19"/>
      <c r="E247" s="19"/>
      <c r="F247" s="10"/>
      <c r="G247" s="2990"/>
      <c r="H247" s="2990"/>
      <c r="I247" s="2990"/>
      <c r="J247" s="19"/>
      <c r="K247" s="1"/>
      <c r="L247" s="2014">
        <f>HS_PorCocCla+HS_PorCocBi</f>
        <v>0</v>
      </c>
      <c r="M247" s="2993"/>
      <c r="N247" s="2994"/>
      <c r="O247" s="1"/>
      <c r="P247" s="1799"/>
      <c r="Q247" s="1799"/>
      <c r="R247" s="1799"/>
      <c r="S247" s="1799"/>
      <c r="T247" s="1799"/>
      <c r="U247" s="1799"/>
      <c r="V247" s="1799"/>
      <c r="W247" s="1799"/>
      <c r="X247" s="1799"/>
      <c r="Y247" s="1799"/>
      <c r="Z247" s="1799"/>
      <c r="AA247" s="573"/>
      <c r="AG247" s="1353" t="s">
        <v>997</v>
      </c>
      <c r="AH247" s="1353"/>
      <c r="AJ247" s="1733">
        <f>IF(G247=AG$245,Porcs!N9,0)</f>
        <v>0</v>
      </c>
      <c r="AK247" s="1733">
        <f>IF(J247=AF$244,Paramètres!FC16,Paramètres!FB16)</f>
        <v>0.56999999999999995</v>
      </c>
      <c r="AL247" s="1733">
        <f>AJ247*AK247</f>
        <v>0</v>
      </c>
    </row>
    <row r="248" spans="1:38" ht="5.0999999999999996" customHeight="1" x14ac:dyDescent="0.2">
      <c r="A248" s="1245"/>
      <c r="B248" s="7"/>
      <c r="C248" s="1"/>
      <c r="D248" s="1"/>
      <c r="E248" s="1"/>
      <c r="F248" s="1"/>
      <c r="G248" s="1"/>
      <c r="H248" s="1"/>
      <c r="I248" s="1"/>
      <c r="J248" s="1"/>
      <c r="K248" s="1"/>
      <c r="L248" s="1"/>
      <c r="M248" s="2995"/>
      <c r="N248" s="2996"/>
      <c r="O248" s="1"/>
      <c r="P248" s="1799"/>
      <c r="Q248" s="1799"/>
      <c r="R248" s="1799"/>
      <c r="S248" s="1799"/>
      <c r="T248" s="1799"/>
      <c r="U248" s="1799"/>
      <c r="V248" s="1799"/>
      <c r="W248" s="1799"/>
      <c r="X248" s="1799"/>
      <c r="Y248" s="1799"/>
      <c r="Z248" s="1799"/>
      <c r="AA248" s="573"/>
    </row>
    <row r="249" spans="1:38" ht="18.75" customHeight="1" x14ac:dyDescent="0.2">
      <c r="A249" s="1245"/>
      <c r="B249" s="7"/>
      <c r="C249" s="1476" t="s">
        <v>2321</v>
      </c>
      <c r="D249" s="19"/>
      <c r="E249" s="7" t="s">
        <v>998</v>
      </c>
      <c r="F249" s="572"/>
      <c r="G249" s="572"/>
      <c r="H249" s="572"/>
      <c r="I249" s="572"/>
      <c r="J249" s="572"/>
      <c r="K249" s="572"/>
      <c r="L249" s="572"/>
      <c r="M249" s="2013"/>
      <c r="N249" s="2013"/>
      <c r="O249" s="1"/>
      <c r="P249" s="1799"/>
      <c r="Q249" s="1799"/>
      <c r="R249" s="1799"/>
      <c r="S249" s="1799"/>
      <c r="T249" s="1799"/>
      <c r="U249" s="1799"/>
      <c r="V249" s="1799"/>
      <c r="W249" s="1799"/>
      <c r="X249" s="1799"/>
      <c r="Y249" s="1799"/>
      <c r="Z249" s="1799"/>
      <c r="AA249" s="573"/>
    </row>
    <row r="250" spans="1:38" ht="3" customHeight="1" x14ac:dyDescent="0.2">
      <c r="A250" s="1245"/>
      <c r="B250" s="1"/>
      <c r="C250" s="1"/>
      <c r="D250" s="1"/>
      <c r="E250" s="1"/>
      <c r="F250" s="9"/>
      <c r="G250" s="1"/>
      <c r="H250" s="1"/>
      <c r="I250" s="1"/>
      <c r="J250" s="1"/>
      <c r="K250" s="1"/>
      <c r="L250" s="1"/>
      <c r="M250" s="1"/>
      <c r="N250" s="1"/>
      <c r="O250" s="1"/>
      <c r="P250" s="1799"/>
      <c r="Q250" s="1799"/>
      <c r="R250" s="1799"/>
      <c r="S250" s="1799"/>
      <c r="T250" s="1799"/>
      <c r="U250" s="1799"/>
      <c r="V250" s="1799"/>
      <c r="W250" s="1799"/>
      <c r="X250" s="1799"/>
      <c r="Y250" s="1799"/>
      <c r="Z250" s="1799"/>
      <c r="AA250" s="573"/>
    </row>
    <row r="251" spans="1:38" ht="18.75" customHeight="1" x14ac:dyDescent="0.2">
      <c r="A251" s="1245"/>
      <c r="B251" s="599" t="s">
        <v>195</v>
      </c>
      <c r="C251" s="1"/>
      <c r="D251" s="9"/>
      <c r="E251" s="1"/>
      <c r="F251" s="1"/>
      <c r="G251" s="1"/>
      <c r="H251" s="1"/>
      <c r="I251" s="1"/>
      <c r="J251" s="1"/>
      <c r="K251" s="1"/>
      <c r="L251" s="1"/>
      <c r="M251" s="1"/>
      <c r="N251" s="1"/>
      <c r="O251" s="1"/>
      <c r="P251" s="1799"/>
      <c r="Q251" s="1799"/>
      <c r="R251" s="1799"/>
      <c r="S251" s="1799"/>
      <c r="T251" s="1799"/>
      <c r="U251" s="1799"/>
      <c r="V251" s="1799"/>
      <c r="W251" s="1799"/>
      <c r="X251" s="1799"/>
      <c r="Y251" s="1799"/>
      <c r="Z251" s="1799"/>
      <c r="AA251" s="573"/>
    </row>
    <row r="252" spans="1:38" ht="18.75" customHeight="1" x14ac:dyDescent="0.2">
      <c r="A252" s="1245"/>
      <c r="B252" s="1471" t="s">
        <v>1283</v>
      </c>
      <c r="C252" s="1"/>
      <c r="D252" s="19"/>
      <c r="E252" s="571"/>
      <c r="F252" s="1471" t="s">
        <v>2003</v>
      </c>
      <c r="G252" s="1"/>
      <c r="H252" s="1"/>
      <c r="I252" s="1"/>
      <c r="J252" s="19"/>
      <c r="K252" s="1245"/>
      <c r="L252" s="1"/>
      <c r="M252" s="1"/>
      <c r="N252" s="1"/>
      <c r="O252" s="1"/>
      <c r="P252" s="1799"/>
      <c r="Q252" s="1799"/>
      <c r="R252" s="1799"/>
      <c r="S252" s="1799"/>
      <c r="T252" s="1799"/>
      <c r="U252" s="1799"/>
      <c r="V252" s="1799"/>
      <c r="W252" s="1799"/>
      <c r="X252" s="1799"/>
      <c r="Y252" s="1799"/>
      <c r="Z252" s="1799"/>
      <c r="AA252" s="573"/>
      <c r="AG252"/>
    </row>
    <row r="253" spans="1:38" ht="18.75" customHeight="1" x14ac:dyDescent="0.2">
      <c r="A253" s="1245"/>
      <c r="B253" s="1471" t="s">
        <v>1284</v>
      </c>
      <c r="C253" s="1245"/>
      <c r="D253" s="19"/>
      <c r="E253" s="571"/>
      <c r="F253" s="1471" t="s">
        <v>2004</v>
      </c>
      <c r="G253" s="1"/>
      <c r="H253" s="1"/>
      <c r="I253" s="1"/>
      <c r="J253" s="19"/>
      <c r="K253" s="1245"/>
      <c r="L253" s="1"/>
      <c r="M253" s="1"/>
      <c r="N253" s="1"/>
      <c r="O253" s="1"/>
      <c r="P253" s="1799"/>
      <c r="Q253" s="1799"/>
      <c r="R253" s="1799"/>
      <c r="S253" s="1799"/>
      <c r="T253" s="1799"/>
      <c r="U253" s="1799"/>
      <c r="V253" s="1799"/>
      <c r="W253" s="1799"/>
      <c r="X253" s="1799"/>
      <c r="Y253" s="1799"/>
      <c r="Z253" s="1799"/>
      <c r="AA253" s="573"/>
      <c r="AG253"/>
    </row>
    <row r="254" spans="1:38" ht="18.75" customHeight="1" x14ac:dyDescent="0.2">
      <c r="A254" s="1245"/>
      <c r="B254" s="1991" t="s">
        <v>1988</v>
      </c>
      <c r="C254" s="1245"/>
      <c r="D254" s="19"/>
      <c r="E254" s="571"/>
      <c r="F254" s="1471" t="s">
        <v>2005</v>
      </c>
      <c r="G254" s="1"/>
      <c r="H254" s="1"/>
      <c r="I254" s="1"/>
      <c r="J254" s="19"/>
      <c r="K254" s="1245"/>
      <c r="L254" s="1"/>
      <c r="M254" s="1"/>
      <c r="N254" s="1"/>
      <c r="O254" s="1"/>
      <c r="P254" s="1799"/>
      <c r="Q254" s="1799"/>
      <c r="R254" s="1799"/>
      <c r="S254" s="1799"/>
      <c r="T254" s="1799"/>
      <c r="U254" s="1799"/>
      <c r="V254" s="1799"/>
      <c r="W254" s="1799"/>
      <c r="X254" s="1799"/>
      <c r="Y254" s="1799"/>
      <c r="Z254" s="1799"/>
      <c r="AA254" s="573"/>
    </row>
    <row r="255" spans="1:38" ht="18.75" customHeight="1" x14ac:dyDescent="0.2">
      <c r="A255" s="1245"/>
      <c r="B255" s="1471" t="s">
        <v>1285</v>
      </c>
      <c r="C255" s="1"/>
      <c r="D255" s="19"/>
      <c r="E255" s="571"/>
      <c r="F255" s="1471" t="s">
        <v>2006</v>
      </c>
      <c r="G255" s="1"/>
      <c r="H255" s="1"/>
      <c r="I255" s="1"/>
      <c r="J255" s="19"/>
      <c r="K255" s="1245"/>
      <c r="L255" s="1"/>
      <c r="M255" s="1"/>
      <c r="N255" s="1"/>
      <c r="O255" s="1"/>
      <c r="P255" s="1799"/>
      <c r="Q255" s="1799"/>
      <c r="R255" s="1799"/>
      <c r="S255" s="1799"/>
      <c r="T255" s="1799"/>
      <c r="U255" s="1799"/>
      <c r="V255" s="1799"/>
      <c r="W255" s="1799"/>
      <c r="X255" s="1799"/>
      <c r="Y255" s="1799"/>
      <c r="Z255" s="1799"/>
      <c r="AA255" s="573"/>
    </row>
    <row r="256" spans="1:38" ht="18.75" customHeight="1" x14ac:dyDescent="0.2">
      <c r="A256" s="1245"/>
      <c r="B256" s="1471" t="s">
        <v>1286</v>
      </c>
      <c r="C256" s="1245"/>
      <c r="D256" s="19"/>
      <c r="E256" s="571"/>
      <c r="F256" s="4" t="s">
        <v>2007</v>
      </c>
      <c r="G256" s="1"/>
      <c r="H256" s="1"/>
      <c r="I256" s="1"/>
      <c r="J256" s="19"/>
      <c r="K256" s="1245"/>
      <c r="L256" s="1"/>
      <c r="M256" s="1"/>
      <c r="N256" s="1"/>
      <c r="O256" s="1"/>
      <c r="P256" s="1799"/>
      <c r="Q256" s="1799"/>
      <c r="R256" s="1799"/>
      <c r="S256" s="1799"/>
      <c r="T256" s="1799"/>
      <c r="U256" s="1799"/>
      <c r="V256" s="1799"/>
      <c r="W256" s="1799"/>
      <c r="X256" s="1799"/>
      <c r="Y256" s="1799"/>
      <c r="Z256" s="1799"/>
      <c r="AA256" s="573"/>
    </row>
    <row r="257" spans="1:27" ht="18.75" customHeight="1" x14ac:dyDescent="0.2">
      <c r="A257" s="1245"/>
      <c r="B257" s="1471" t="s">
        <v>1287</v>
      </c>
      <c r="C257" s="1"/>
      <c r="D257" s="19"/>
      <c r="E257" s="571"/>
      <c r="F257" s="1471" t="s">
        <v>2008</v>
      </c>
      <c r="G257" s="1"/>
      <c r="H257" s="1"/>
      <c r="I257" s="1"/>
      <c r="J257" s="19"/>
      <c r="K257" s="1245"/>
      <c r="L257" s="1"/>
      <c r="M257" s="1"/>
      <c r="N257" s="1"/>
      <c r="O257" s="1"/>
      <c r="P257" s="1799"/>
      <c r="Q257" s="1799"/>
      <c r="R257" s="1799"/>
      <c r="S257" s="1799"/>
      <c r="T257" s="1799"/>
      <c r="U257" s="1799"/>
      <c r="V257" s="1799"/>
      <c r="W257" s="1799"/>
      <c r="X257" s="1799"/>
      <c r="Y257" s="1799"/>
      <c r="Z257" s="1799"/>
      <c r="AA257" s="573"/>
    </row>
    <row r="258" spans="1:27" ht="18.75" customHeight="1" x14ac:dyDescent="0.2">
      <c r="A258" s="1245"/>
      <c r="B258" s="1471" t="s">
        <v>1288</v>
      </c>
      <c r="C258" s="1245"/>
      <c r="D258" s="19"/>
      <c r="E258" s="571"/>
      <c r="F258" s="1471" t="s">
        <v>2016</v>
      </c>
      <c r="G258" s="1"/>
      <c r="H258" s="1"/>
      <c r="I258" s="1"/>
      <c r="J258" s="19"/>
      <c r="K258" s="1245"/>
      <c r="L258" s="571"/>
      <c r="M258" s="571"/>
      <c r="N258" s="1"/>
      <c r="O258" s="1"/>
      <c r="P258" s="1799"/>
      <c r="Q258" s="1799"/>
      <c r="R258" s="1799"/>
      <c r="S258" s="1799"/>
      <c r="T258" s="1799"/>
      <c r="U258" s="1799"/>
      <c r="V258" s="1799"/>
      <c r="W258" s="1799"/>
      <c r="X258" s="1799"/>
      <c r="Y258" s="1799"/>
      <c r="Z258" s="1799"/>
      <c r="AA258" s="573"/>
    </row>
    <row r="259" spans="1:27" ht="18.75" customHeight="1" x14ac:dyDescent="0.2">
      <c r="A259" s="1245"/>
      <c r="B259" s="4" t="s">
        <v>518</v>
      </c>
      <c r="C259" s="1"/>
      <c r="D259" s="19"/>
      <c r="E259" s="571"/>
      <c r="F259" s="1996" t="s">
        <v>2015</v>
      </c>
      <c r="G259" s="1"/>
      <c r="H259" s="1"/>
      <c r="I259" s="1"/>
      <c r="J259" s="1997"/>
      <c r="K259" s="1245"/>
      <c r="L259" s="1"/>
      <c r="M259" s="1"/>
      <c r="N259" s="1"/>
      <c r="O259" s="1"/>
      <c r="P259" s="1799"/>
      <c r="Q259" s="1799"/>
      <c r="R259" s="1799"/>
      <c r="S259" s="1799"/>
      <c r="T259" s="1799"/>
      <c r="U259" s="1799"/>
      <c r="V259" s="1799"/>
      <c r="W259" s="1799"/>
      <c r="X259" s="1799"/>
      <c r="Y259" s="1799"/>
      <c r="Z259" s="1799"/>
      <c r="AA259" s="573"/>
    </row>
    <row r="260" spans="1:27" ht="18.75" customHeight="1" x14ac:dyDescent="0.2">
      <c r="A260" s="1245"/>
      <c r="B260" s="1928" t="s">
        <v>989</v>
      </c>
      <c r="C260" s="1"/>
      <c r="D260" s="19"/>
      <c r="E260" s="571"/>
      <c r="F260" s="1996" t="s">
        <v>2013</v>
      </c>
      <c r="G260" s="1"/>
      <c r="H260" s="1"/>
      <c r="I260" s="1"/>
      <c r="J260" s="1997"/>
      <c r="K260" s="1245"/>
      <c r="L260" s="1"/>
      <c r="M260" s="1"/>
      <c r="N260" s="1"/>
      <c r="O260" s="1"/>
      <c r="P260" s="1799"/>
      <c r="Q260" s="1799"/>
      <c r="R260" s="1799"/>
      <c r="S260" s="1799"/>
      <c r="T260" s="1799"/>
      <c r="U260" s="1799"/>
      <c r="V260" s="1799"/>
      <c r="W260" s="1799"/>
      <c r="X260" s="1799"/>
      <c r="Y260" s="1799"/>
      <c r="Z260" s="1799"/>
      <c r="AA260" s="573"/>
    </row>
    <row r="261" spans="1:27" ht="18.75" customHeight="1" x14ac:dyDescent="0.2">
      <c r="A261" s="1245"/>
      <c r="B261" s="1928" t="s">
        <v>1755</v>
      </c>
      <c r="C261" s="1"/>
      <c r="D261" s="19"/>
      <c r="E261" s="571"/>
      <c r="F261" s="1996" t="s">
        <v>2014</v>
      </c>
      <c r="G261" s="1"/>
      <c r="H261" s="1"/>
      <c r="I261" s="1"/>
      <c r="J261" s="1997"/>
      <c r="K261" s="1245"/>
      <c r="L261" s="1"/>
      <c r="M261" s="1"/>
      <c r="N261" s="1"/>
      <c r="O261" s="1"/>
      <c r="P261" s="1799"/>
      <c r="Q261" s="1799"/>
      <c r="R261" s="1799"/>
      <c r="S261" s="1799"/>
      <c r="T261" s="1799"/>
      <c r="U261" s="1799"/>
      <c r="V261" s="1799"/>
      <c r="W261" s="1799"/>
      <c r="X261" s="1799"/>
      <c r="Y261" s="1799"/>
      <c r="Z261" s="1799"/>
      <c r="AA261" s="573"/>
    </row>
    <row r="262" spans="1:27" ht="18.75" customHeight="1" x14ac:dyDescent="0.2">
      <c r="A262" s="1245"/>
      <c r="B262" s="1928" t="s">
        <v>1753</v>
      </c>
      <c r="C262" s="1"/>
      <c r="D262" s="19"/>
      <c r="E262" s="571"/>
      <c r="F262" s="1996" t="s">
        <v>2009</v>
      </c>
      <c r="G262" s="1"/>
      <c r="H262" s="1"/>
      <c r="I262" s="1"/>
      <c r="J262" s="1997"/>
      <c r="K262" s="1245"/>
      <c r="L262" s="1"/>
      <c r="M262" s="1"/>
      <c r="N262" s="1"/>
      <c r="O262" s="1"/>
      <c r="P262" s="1799"/>
      <c r="Q262" s="1799"/>
      <c r="R262" s="1799"/>
      <c r="S262" s="1799"/>
      <c r="T262" s="1799"/>
      <c r="U262" s="1799"/>
      <c r="V262" s="1799"/>
      <c r="W262" s="1799"/>
      <c r="X262" s="1799"/>
      <c r="Y262" s="1799"/>
      <c r="Z262" s="1799"/>
      <c r="AA262" s="573"/>
    </row>
    <row r="263" spans="1:27" ht="18.75" customHeight="1" x14ac:dyDescent="0.2">
      <c r="A263" s="1245"/>
      <c r="B263" s="1471" t="s">
        <v>1754</v>
      </c>
      <c r="C263" s="1"/>
      <c r="D263" s="19"/>
      <c r="E263" s="571"/>
      <c r="F263" s="1996" t="s">
        <v>2010</v>
      </c>
      <c r="G263" s="1"/>
      <c r="H263" s="1"/>
      <c r="I263" s="1"/>
      <c r="J263" s="1997"/>
      <c r="K263" s="1245"/>
      <c r="L263" s="1"/>
      <c r="M263" s="1"/>
      <c r="N263" s="1"/>
      <c r="O263" s="1"/>
      <c r="P263" s="1799"/>
      <c r="Q263" s="1799"/>
      <c r="R263" s="1799"/>
      <c r="S263" s="1799"/>
      <c r="T263" s="1799"/>
      <c r="U263" s="1799"/>
      <c r="V263" s="1799"/>
      <c r="W263" s="1799"/>
      <c r="X263" s="1799"/>
      <c r="Y263" s="1799"/>
      <c r="Z263" s="1799"/>
      <c r="AA263" s="573"/>
    </row>
    <row r="264" spans="1:27" ht="18.75" customHeight="1" x14ac:dyDescent="0.2">
      <c r="A264" s="1245"/>
      <c r="B264" s="1928" t="s">
        <v>1756</v>
      </c>
      <c r="C264" s="1"/>
      <c r="D264" s="19"/>
      <c r="E264" s="571"/>
      <c r="F264" s="1996" t="s">
        <v>2012</v>
      </c>
      <c r="G264" s="1"/>
      <c r="H264" s="1"/>
      <c r="I264" s="1"/>
      <c r="J264" s="1997"/>
      <c r="K264" s="1245"/>
      <c r="L264" s="1"/>
      <c r="M264" s="1"/>
      <c r="N264" s="1"/>
      <c r="O264" s="1"/>
      <c r="P264" s="1799"/>
      <c r="Q264" s="1799"/>
      <c r="R264" s="1799"/>
      <c r="S264" s="1799"/>
      <c r="T264" s="1799"/>
      <c r="U264" s="1799"/>
      <c r="V264" s="1799"/>
      <c r="W264" s="1799"/>
      <c r="X264" s="1799"/>
      <c r="Y264" s="1799"/>
      <c r="Z264" s="1799"/>
      <c r="AA264" s="573"/>
    </row>
    <row r="265" spans="1:27" ht="18.75" customHeight="1" x14ac:dyDescent="0.2">
      <c r="A265" s="1245"/>
      <c r="B265" s="1928" t="s">
        <v>1757</v>
      </c>
      <c r="C265" s="1"/>
      <c r="D265" s="19"/>
      <c r="E265" s="571"/>
      <c r="F265" s="1996" t="s">
        <v>2011</v>
      </c>
      <c r="G265" s="1"/>
      <c r="H265" s="1"/>
      <c r="I265" s="1"/>
      <c r="J265" s="1997"/>
      <c r="K265" s="1245"/>
      <c r="L265" s="1"/>
      <c r="M265" s="1"/>
      <c r="N265" s="1"/>
      <c r="O265" s="1"/>
      <c r="P265" s="1799"/>
      <c r="Q265" s="1799"/>
      <c r="R265" s="1799"/>
      <c r="S265" s="1799"/>
      <c r="T265" s="1799"/>
      <c r="U265" s="1799"/>
      <c r="V265" s="1799"/>
      <c r="W265" s="1799"/>
      <c r="X265" s="1799"/>
      <c r="Y265" s="1799"/>
      <c r="Z265" s="1799"/>
      <c r="AA265" s="573"/>
    </row>
    <row r="266" spans="1:27" ht="18.75" customHeight="1" x14ac:dyDescent="0.2">
      <c r="A266" s="1245"/>
      <c r="B266" s="1928" t="s">
        <v>1758</v>
      </c>
      <c r="C266" s="1"/>
      <c r="D266" s="19"/>
      <c r="E266" s="571"/>
      <c r="F266" s="571"/>
      <c r="G266" s="571"/>
      <c r="H266" s="571"/>
      <c r="I266" s="571"/>
      <c r="J266" s="571"/>
      <c r="K266" s="1"/>
      <c r="L266" s="1"/>
      <c r="M266" s="1"/>
      <c r="N266" s="1"/>
      <c r="O266" s="1"/>
      <c r="P266" s="1799"/>
      <c r="Q266" s="1799"/>
      <c r="R266" s="1799"/>
      <c r="S266" s="1799"/>
      <c r="T266" s="1799"/>
      <c r="U266" s="1799"/>
      <c r="V266" s="1799"/>
      <c r="W266" s="1799"/>
      <c r="X266" s="1799"/>
      <c r="Y266" s="1799"/>
      <c r="Z266" s="1799"/>
      <c r="AA266" s="573"/>
    </row>
    <row r="267" spans="1:27" ht="18.75" customHeight="1" x14ac:dyDescent="0.2">
      <c r="A267" s="1245"/>
      <c r="B267" s="1991" t="s">
        <v>1759</v>
      </c>
      <c r="C267" s="1"/>
      <c r="D267" s="19"/>
      <c r="E267" s="571"/>
      <c r="F267" s="4" t="s">
        <v>522</v>
      </c>
      <c r="G267" s="1"/>
      <c r="H267" s="1"/>
      <c r="I267" s="1"/>
      <c r="J267" s="19"/>
      <c r="K267" s="1245"/>
      <c r="L267" s="1"/>
      <c r="M267" s="1"/>
      <c r="N267" s="1"/>
      <c r="O267" s="1"/>
      <c r="P267" s="1799"/>
      <c r="Q267" s="1799"/>
      <c r="R267" s="1799"/>
      <c r="S267" s="1799"/>
      <c r="T267" s="1799"/>
      <c r="U267" s="1799"/>
      <c r="V267" s="1799"/>
      <c r="W267" s="1799"/>
      <c r="X267" s="1799"/>
      <c r="Y267" s="1799"/>
      <c r="Z267" s="1799"/>
      <c r="AA267" s="573"/>
    </row>
    <row r="268" spans="1:27" ht="18.75" customHeight="1" x14ac:dyDescent="0.2">
      <c r="A268" s="1245"/>
      <c r="B268" s="1991" t="s">
        <v>1991</v>
      </c>
      <c r="C268" s="1"/>
      <c r="D268" s="19"/>
      <c r="E268" s="571"/>
      <c r="F268" s="4" t="s">
        <v>523</v>
      </c>
      <c r="G268" s="1"/>
      <c r="H268" s="1"/>
      <c r="I268" s="1"/>
      <c r="J268" s="19"/>
      <c r="K268" s="1245"/>
      <c r="L268" s="1"/>
      <c r="M268" s="1"/>
      <c r="N268" s="1"/>
      <c r="O268" s="1"/>
      <c r="P268" s="1799"/>
      <c r="Q268" s="1799"/>
      <c r="R268" s="1799"/>
      <c r="S268" s="1799"/>
      <c r="T268" s="1799"/>
      <c r="U268" s="1799"/>
      <c r="V268" s="1799"/>
      <c r="W268" s="1799"/>
      <c r="X268" s="1799"/>
      <c r="Y268" s="1799"/>
      <c r="Z268" s="1799"/>
      <c r="AA268" s="573"/>
    </row>
    <row r="269" spans="1:27" ht="18.75" customHeight="1" x14ac:dyDescent="0.2">
      <c r="A269" s="1245"/>
      <c r="B269" s="571"/>
      <c r="C269" s="571"/>
      <c r="D269" s="571"/>
      <c r="E269" s="571"/>
      <c r="F269" s="1471" t="s">
        <v>1495</v>
      </c>
      <c r="G269" s="1"/>
      <c r="H269" s="1"/>
      <c r="I269" s="1"/>
      <c r="J269" s="19"/>
      <c r="K269" s="1245"/>
      <c r="L269" s="1"/>
      <c r="M269" s="1"/>
      <c r="N269" s="1"/>
      <c r="O269" s="1"/>
      <c r="P269" s="1799"/>
      <c r="Q269" s="1799"/>
      <c r="R269" s="1799"/>
      <c r="S269" s="1799"/>
      <c r="T269" s="1799"/>
      <c r="U269" s="1799"/>
      <c r="V269" s="1799"/>
      <c r="W269" s="1799"/>
      <c r="X269" s="1799"/>
      <c r="Y269" s="1799"/>
      <c r="Z269" s="1799"/>
      <c r="AA269" s="573"/>
    </row>
    <row r="270" spans="1:27" ht="18.75" customHeight="1" x14ac:dyDescent="0.2">
      <c r="A270" s="1245"/>
      <c r="B270" s="1471" t="s">
        <v>1291</v>
      </c>
      <c r="C270" s="1"/>
      <c r="D270" s="19"/>
      <c r="E270" s="1"/>
      <c r="F270" s="1471" t="s">
        <v>1493</v>
      </c>
      <c r="G270" s="1"/>
      <c r="H270" s="1"/>
      <c r="I270" s="1"/>
      <c r="J270" s="19"/>
      <c r="K270" s="1245"/>
      <c r="L270" s="1"/>
      <c r="M270" s="1"/>
      <c r="N270" s="1"/>
      <c r="O270" s="1"/>
      <c r="P270" s="1799"/>
      <c r="Q270" s="1799"/>
      <c r="R270" s="1799"/>
      <c r="S270" s="1799"/>
      <c r="T270" s="1799"/>
      <c r="U270" s="1799"/>
      <c r="V270" s="1799"/>
      <c r="W270" s="1799"/>
      <c r="X270" s="1799"/>
      <c r="Y270" s="1799"/>
      <c r="Z270" s="1799"/>
      <c r="AA270" s="573"/>
    </row>
    <row r="271" spans="1:27" ht="18.75" customHeight="1" x14ac:dyDescent="0.2">
      <c r="A271" s="1245"/>
      <c r="B271" s="1471" t="s">
        <v>1496</v>
      </c>
      <c r="C271" s="1"/>
      <c r="D271" s="19"/>
      <c r="E271" s="1"/>
      <c r="F271" s="4" t="s">
        <v>1993</v>
      </c>
      <c r="G271" s="1"/>
      <c r="H271" s="1"/>
      <c r="I271" s="1"/>
      <c r="J271" s="19"/>
      <c r="K271" s="1245"/>
      <c r="L271" s="1"/>
      <c r="M271" s="1"/>
      <c r="N271" s="1"/>
      <c r="O271" s="1"/>
      <c r="P271" s="1799"/>
      <c r="Q271" s="1799"/>
      <c r="R271" s="1799"/>
      <c r="S271" s="1799"/>
      <c r="T271" s="1799"/>
      <c r="U271" s="1799"/>
      <c r="V271" s="1799"/>
      <c r="W271" s="1799"/>
      <c r="X271" s="1799"/>
      <c r="Y271" s="1799"/>
      <c r="Z271" s="1799"/>
      <c r="AA271" s="573"/>
    </row>
    <row r="272" spans="1:27" ht="18.75" customHeight="1" x14ac:dyDescent="0.2">
      <c r="A272" s="1245"/>
      <c r="B272" s="1471" t="s">
        <v>1497</v>
      </c>
      <c r="C272" s="1"/>
      <c r="D272" s="19"/>
      <c r="E272" s="1"/>
      <c r="F272" s="1471" t="s">
        <v>1470</v>
      </c>
      <c r="G272" s="1"/>
      <c r="H272" s="1"/>
      <c r="I272" s="1"/>
      <c r="J272" s="19"/>
      <c r="K272" s="1245"/>
      <c r="L272" s="1"/>
      <c r="M272" s="1"/>
      <c r="N272" s="1"/>
      <c r="O272" s="1"/>
      <c r="P272" s="1799"/>
      <c r="Q272" s="1799"/>
      <c r="R272" s="1799"/>
      <c r="S272" s="1799"/>
      <c r="T272" s="1799"/>
      <c r="U272" s="1799"/>
      <c r="V272" s="1799"/>
      <c r="W272" s="1799"/>
      <c r="X272" s="1799"/>
      <c r="Y272" s="1799"/>
      <c r="Z272" s="1799"/>
      <c r="AA272" s="573"/>
    </row>
    <row r="273" spans="1:31" ht="18.75" customHeight="1" x14ac:dyDescent="0.2">
      <c r="A273" s="1245"/>
      <c r="B273" s="4" t="s">
        <v>530</v>
      </c>
      <c r="C273" s="1"/>
      <c r="D273" s="19"/>
      <c r="E273" s="1"/>
      <c r="F273" s="1471" t="s">
        <v>1494</v>
      </c>
      <c r="G273" s="1"/>
      <c r="H273" s="1"/>
      <c r="I273" s="1"/>
      <c r="J273" s="19"/>
      <c r="K273" s="1245"/>
      <c r="L273" s="1"/>
      <c r="M273" s="1"/>
      <c r="N273" s="1"/>
      <c r="O273" s="1"/>
      <c r="P273" s="1799"/>
      <c r="Q273" s="1799"/>
      <c r="R273" s="1799"/>
      <c r="S273" s="1799"/>
      <c r="T273" s="1799"/>
      <c r="U273" s="1799"/>
      <c r="V273" s="1799"/>
      <c r="W273" s="1799"/>
      <c r="X273" s="1799"/>
      <c r="Y273" s="1799"/>
      <c r="Z273" s="1799"/>
      <c r="AA273" s="573"/>
    </row>
    <row r="274" spans="1:31" ht="15" customHeight="1" x14ac:dyDescent="0.2">
      <c r="A274" s="1245"/>
      <c r="B274" s="4" t="s">
        <v>531</v>
      </c>
      <c r="C274" s="1"/>
      <c r="D274" s="19"/>
      <c r="E274" s="1"/>
      <c r="F274" s="1471" t="s">
        <v>1763</v>
      </c>
      <c r="G274" s="1"/>
      <c r="H274" s="1"/>
      <c r="I274" s="1"/>
      <c r="J274" s="19"/>
      <c r="K274" s="1245"/>
      <c r="L274" s="1"/>
      <c r="M274" s="1"/>
      <c r="N274" s="1"/>
      <c r="O274" s="1"/>
      <c r="P274" s="1799"/>
      <c r="Q274" s="1799"/>
      <c r="R274" s="1799"/>
      <c r="S274" s="1799"/>
      <c r="T274" s="1799"/>
      <c r="U274" s="1799"/>
      <c r="V274" s="1799"/>
      <c r="W274" s="1799"/>
      <c r="X274" s="1799"/>
      <c r="Y274" s="1799"/>
      <c r="Z274" s="1799"/>
      <c r="AA274" s="573"/>
    </row>
    <row r="275" spans="1:31" ht="18.75" customHeight="1" x14ac:dyDescent="0.2">
      <c r="A275" s="1245"/>
      <c r="B275" s="4" t="s">
        <v>532</v>
      </c>
      <c r="C275" s="1"/>
      <c r="D275" s="19"/>
      <c r="E275" s="1"/>
      <c r="F275" s="1471" t="s">
        <v>1762</v>
      </c>
      <c r="G275" s="1"/>
      <c r="H275" s="1"/>
      <c r="I275" s="1"/>
      <c r="J275" s="19"/>
      <c r="K275" s="1245"/>
      <c r="L275" s="1"/>
      <c r="M275" s="1"/>
      <c r="N275" s="1"/>
      <c r="O275" s="1"/>
      <c r="P275" s="1799"/>
      <c r="Q275" s="1799"/>
      <c r="R275" s="1799"/>
      <c r="S275" s="1799"/>
      <c r="T275" s="1799"/>
      <c r="U275" s="1799"/>
      <c r="V275" s="1799"/>
      <c r="W275" s="1799"/>
      <c r="X275" s="1799"/>
      <c r="Y275" s="1799"/>
      <c r="Z275" s="1799"/>
      <c r="AA275" s="573"/>
    </row>
    <row r="276" spans="1:31" ht="5.0999999999999996" customHeight="1" x14ac:dyDescent="0.2">
      <c r="A276" s="1245"/>
      <c r="B276" s="1"/>
      <c r="C276" s="1"/>
      <c r="D276" s="9"/>
      <c r="E276" s="1"/>
      <c r="F276" s="1"/>
      <c r="G276" s="1"/>
      <c r="H276" s="1"/>
      <c r="I276" s="1"/>
      <c r="J276" s="1"/>
      <c r="K276" s="1"/>
      <c r="L276" s="1"/>
      <c r="M276" s="1"/>
      <c r="N276" s="1"/>
      <c r="O276" s="1"/>
      <c r="P276" s="1799"/>
      <c r="Q276" s="1799"/>
      <c r="R276" s="1799"/>
      <c r="S276" s="1799"/>
      <c r="T276" s="1799"/>
      <c r="U276" s="1799"/>
      <c r="V276" s="1799"/>
      <c r="W276" s="1799"/>
      <c r="X276" s="1799"/>
      <c r="Y276" s="1799"/>
      <c r="Z276" s="1799"/>
      <c r="AA276" s="573"/>
    </row>
    <row r="277" spans="1:31" ht="18.75" customHeight="1" x14ac:dyDescent="0.2">
      <c r="A277" s="1245"/>
      <c r="B277" s="1"/>
      <c r="C277" s="1"/>
      <c r="D277" s="9"/>
      <c r="E277" s="1"/>
      <c r="F277" s="4" t="s">
        <v>525</v>
      </c>
      <c r="G277" s="1"/>
      <c r="H277" s="1"/>
      <c r="I277" s="1"/>
      <c r="J277" s="19"/>
      <c r="K277" s="1245"/>
      <c r="L277" s="1"/>
      <c r="M277" s="1"/>
      <c r="N277" s="1"/>
      <c r="O277" s="1"/>
      <c r="P277" s="1799"/>
      <c r="Q277" s="1799"/>
      <c r="R277" s="1799"/>
      <c r="S277" s="1799"/>
      <c r="T277" s="1799"/>
      <c r="U277" s="1799"/>
      <c r="V277" s="1799"/>
      <c r="W277" s="1799"/>
      <c r="X277" s="1799"/>
      <c r="Y277" s="1799"/>
      <c r="Z277" s="1799"/>
      <c r="AA277" s="573"/>
    </row>
    <row r="278" spans="1:31" ht="18.75" customHeight="1" x14ac:dyDescent="0.2">
      <c r="A278" s="1245"/>
      <c r="B278" s="1"/>
      <c r="C278" s="1"/>
      <c r="D278" s="9"/>
      <c r="E278" s="1"/>
      <c r="F278" s="4" t="s">
        <v>526</v>
      </c>
      <c r="G278" s="1"/>
      <c r="H278" s="1"/>
      <c r="I278" s="1"/>
      <c r="J278" s="19"/>
      <c r="K278" s="1245"/>
      <c r="L278" s="1"/>
      <c r="M278" s="1"/>
      <c r="N278" s="1"/>
      <c r="O278" s="1"/>
      <c r="P278" s="1799"/>
      <c r="Q278" s="1799"/>
      <c r="R278" s="1799"/>
      <c r="S278" s="1799"/>
      <c r="T278" s="1799"/>
      <c r="U278" s="1799"/>
      <c r="V278" s="1799"/>
      <c r="W278" s="1799"/>
      <c r="X278" s="1799"/>
      <c r="Y278" s="1799"/>
      <c r="Z278" s="1799"/>
      <c r="AA278" s="573"/>
    </row>
    <row r="279" spans="1:31" ht="18.75" customHeight="1" x14ac:dyDescent="0.2">
      <c r="A279" s="1245"/>
      <c r="B279" s="1"/>
      <c r="C279" s="1"/>
      <c r="D279" s="9"/>
      <c r="E279" s="1"/>
      <c r="F279" s="4" t="s">
        <v>527</v>
      </c>
      <c r="G279" s="1"/>
      <c r="H279" s="1"/>
      <c r="I279" s="1"/>
      <c r="J279" s="19"/>
      <c r="K279" s="1245"/>
      <c r="L279" s="1"/>
      <c r="M279" s="1"/>
      <c r="N279" s="1"/>
      <c r="O279" s="1"/>
      <c r="P279" s="1799"/>
      <c r="Q279" s="1799"/>
      <c r="R279" s="1799"/>
      <c r="S279" s="1799"/>
      <c r="T279" s="1799"/>
      <c r="U279" s="1799"/>
      <c r="V279" s="1799"/>
      <c r="W279" s="1799"/>
      <c r="X279" s="1799"/>
      <c r="Y279" s="1799"/>
      <c r="Z279" s="1799"/>
      <c r="AA279" s="573"/>
    </row>
    <row r="280" spans="1:31" ht="18.75" customHeight="1" x14ac:dyDescent="0.2">
      <c r="A280" s="1245"/>
      <c r="B280" s="1"/>
      <c r="C280" s="1"/>
      <c r="D280" s="9"/>
      <c r="E280" s="1"/>
      <c r="F280" s="4" t="s">
        <v>528</v>
      </c>
      <c r="G280" s="1"/>
      <c r="H280" s="1"/>
      <c r="I280" s="1"/>
      <c r="J280" s="19"/>
      <c r="K280" s="1245"/>
      <c r="L280" s="1"/>
      <c r="M280" s="1"/>
      <c r="N280" s="1"/>
      <c r="O280" s="1"/>
      <c r="P280" s="1799"/>
      <c r="Q280" s="1799"/>
      <c r="R280" s="1799"/>
      <c r="S280" s="1799"/>
      <c r="T280" s="1799"/>
      <c r="U280" s="1799"/>
      <c r="V280" s="1799"/>
      <c r="W280" s="1799"/>
      <c r="X280" s="1799"/>
      <c r="Y280" s="1799"/>
      <c r="Z280" s="1799"/>
      <c r="AA280" s="573"/>
    </row>
    <row r="281" spans="1:31" ht="18.75" customHeight="1" x14ac:dyDescent="0.2">
      <c r="A281" s="1245"/>
      <c r="B281" s="1"/>
      <c r="C281" s="1"/>
      <c r="D281" s="9"/>
      <c r="E281" s="1"/>
      <c r="F281" s="1992" t="s">
        <v>991</v>
      </c>
      <c r="G281" s="1"/>
      <c r="H281" s="1"/>
      <c r="I281" s="1"/>
      <c r="J281" s="19"/>
      <c r="K281" s="1245"/>
      <c r="L281" s="1"/>
      <c r="M281" s="1"/>
      <c r="N281" s="1"/>
      <c r="O281" s="1"/>
      <c r="P281" s="1799"/>
      <c r="Q281" s="1799"/>
      <c r="R281" s="1799"/>
      <c r="S281" s="1799"/>
      <c r="T281" s="1799"/>
      <c r="U281" s="1799"/>
      <c r="V281" s="1799"/>
      <c r="W281" s="1799"/>
      <c r="X281" s="1799"/>
      <c r="Y281" s="1799"/>
      <c r="Z281" s="1799"/>
      <c r="AA281" s="573"/>
    </row>
    <row r="282" spans="1:31" ht="18.75" customHeight="1" x14ac:dyDescent="0.2">
      <c r="A282" s="1245"/>
      <c r="B282" s="1"/>
      <c r="C282" s="1"/>
      <c r="D282" s="9"/>
      <c r="E282" s="1"/>
      <c r="F282" s="1991" t="s">
        <v>1992</v>
      </c>
      <c r="G282" s="1"/>
      <c r="H282" s="1"/>
      <c r="I282" s="1"/>
      <c r="J282" s="19"/>
      <c r="K282" s="1245"/>
      <c r="L282" s="1"/>
      <c r="M282" s="1"/>
      <c r="N282" s="1"/>
      <c r="O282" s="1"/>
      <c r="P282" s="1799"/>
      <c r="Q282" s="1799"/>
      <c r="R282" s="1799"/>
      <c r="S282" s="1799"/>
      <c r="T282" s="1799"/>
      <c r="U282" s="1799"/>
      <c r="V282" s="1799"/>
      <c r="W282" s="1799"/>
      <c r="X282" s="1799"/>
      <c r="Y282" s="1799"/>
      <c r="Z282" s="1799"/>
      <c r="AA282" s="573"/>
    </row>
    <row r="283" spans="1:31" ht="3" customHeight="1" x14ac:dyDescent="0.2">
      <c r="A283" s="1245"/>
      <c r="B283" s="1"/>
      <c r="C283" s="1"/>
      <c r="D283" s="9"/>
      <c r="E283" s="1"/>
      <c r="F283" s="1"/>
      <c r="G283" s="1"/>
      <c r="H283" s="1"/>
      <c r="I283" s="1"/>
      <c r="J283" s="1"/>
      <c r="K283" s="1"/>
      <c r="L283" s="1"/>
      <c r="M283" s="1"/>
      <c r="N283" s="1"/>
      <c r="O283" s="1"/>
      <c r="P283" s="1799"/>
      <c r="Q283" s="1799"/>
      <c r="R283" s="1799"/>
      <c r="S283" s="1799"/>
      <c r="T283" s="1799"/>
      <c r="U283" s="1799"/>
      <c r="V283" s="1799"/>
      <c r="W283" s="1799"/>
      <c r="X283" s="1799"/>
      <c r="Y283" s="1799"/>
      <c r="Z283" s="1799"/>
      <c r="AA283" s="573"/>
    </row>
    <row r="284" spans="1:31" ht="18.75" customHeight="1" x14ac:dyDescent="0.2">
      <c r="A284" s="1245"/>
      <c r="B284" s="599" t="s">
        <v>196</v>
      </c>
      <c r="C284" s="1"/>
      <c r="D284" s="9"/>
      <c r="E284" s="1"/>
      <c r="F284" s="1"/>
      <c r="G284" s="1"/>
      <c r="H284" s="1"/>
      <c r="I284" s="1"/>
      <c r="J284" s="1"/>
      <c r="K284" s="1"/>
      <c r="L284" s="1"/>
      <c r="M284" s="1"/>
      <c r="N284" s="1"/>
      <c r="O284" s="1"/>
      <c r="P284" s="1799"/>
      <c r="Q284" s="1799"/>
      <c r="R284" s="1799"/>
      <c r="S284" s="1799"/>
      <c r="T284" s="1799"/>
      <c r="U284" s="1799"/>
      <c r="V284" s="1799"/>
      <c r="W284" s="1799"/>
      <c r="X284" s="1799"/>
      <c r="Y284" s="1799"/>
      <c r="Z284" s="1799"/>
      <c r="AA284" s="573"/>
    </row>
    <row r="285" spans="1:31" ht="18.75" customHeight="1" x14ac:dyDescent="0.2">
      <c r="A285" s="1245"/>
      <c r="B285" s="1" t="s">
        <v>533</v>
      </c>
      <c r="C285" s="1"/>
      <c r="D285" s="1"/>
      <c r="E285" s="1"/>
      <c r="F285" s="1"/>
      <c r="G285" s="1"/>
      <c r="H285" s="1"/>
      <c r="I285" s="1245"/>
      <c r="J285" s="1"/>
      <c r="K285" s="1"/>
      <c r="L285" s="1"/>
      <c r="M285" s="1"/>
      <c r="N285" s="1"/>
      <c r="O285" s="1"/>
      <c r="P285" s="1799"/>
      <c r="Q285" s="1799"/>
      <c r="R285" s="1799"/>
      <c r="S285" s="1799"/>
      <c r="T285" s="1799"/>
      <c r="U285" s="1799"/>
      <c r="V285" s="1799"/>
      <c r="W285" s="1799"/>
      <c r="X285" s="1799"/>
      <c r="Y285" s="1799"/>
      <c r="Z285" s="1799"/>
      <c r="AA285" s="799" t="str">
        <f>ADDRESS(ROW(C285),COLUMN(C285))</f>
        <v>$C$285</v>
      </c>
      <c r="AB285" s="568" t="s">
        <v>551</v>
      </c>
      <c r="AC285" s="734"/>
      <c r="AD285" s="630" t="s">
        <v>550</v>
      </c>
      <c r="AE285"/>
    </row>
    <row r="286" spans="1:31" ht="3" customHeight="1" x14ac:dyDescent="0.2">
      <c r="A286" s="1245"/>
      <c r="B286" s="1"/>
      <c r="C286" s="1"/>
      <c r="D286" s="1"/>
      <c r="E286" s="1"/>
      <c r="F286" s="1"/>
      <c r="G286" s="1"/>
      <c r="H286" s="1"/>
      <c r="I286" s="1"/>
      <c r="J286" s="1"/>
      <c r="K286" s="1"/>
      <c r="L286" s="1"/>
      <c r="M286" s="1"/>
      <c r="N286" s="1"/>
      <c r="O286" s="1"/>
      <c r="P286" s="1799"/>
      <c r="Q286" s="1799"/>
      <c r="R286" s="1799"/>
      <c r="S286" s="1799"/>
      <c r="T286" s="1799"/>
      <c r="U286" s="1799"/>
      <c r="V286" s="1799"/>
      <c r="W286" s="1799"/>
      <c r="X286" s="1799"/>
      <c r="Y286" s="1799"/>
      <c r="Z286" s="1799"/>
    </row>
    <row r="287" spans="1:31" ht="18.75" customHeight="1" x14ac:dyDescent="0.2">
      <c r="A287" s="1245"/>
      <c r="B287" s="4" t="s">
        <v>552</v>
      </c>
      <c r="C287" s="1"/>
      <c r="D287" s="19"/>
      <c r="E287" s="1"/>
      <c r="F287" s="4" t="s">
        <v>555</v>
      </c>
      <c r="G287" s="1"/>
      <c r="H287" s="1"/>
      <c r="I287" s="1"/>
      <c r="J287" s="19"/>
      <c r="K287" s="1245"/>
      <c r="L287" s="1"/>
      <c r="M287" s="1"/>
      <c r="N287" s="1"/>
      <c r="O287" s="1"/>
      <c r="P287" s="1799"/>
      <c r="Q287" s="1799"/>
      <c r="R287" s="1799"/>
      <c r="S287" s="1799"/>
      <c r="T287" s="1799"/>
      <c r="U287" s="1799"/>
      <c r="V287" s="1799"/>
      <c r="W287" s="1799"/>
      <c r="X287" s="1799"/>
      <c r="Y287" s="1799"/>
      <c r="Z287" s="1799"/>
    </row>
    <row r="288" spans="1:31" ht="18.75" customHeight="1" x14ac:dyDescent="0.2">
      <c r="A288" s="1245"/>
      <c r="B288" s="4" t="s">
        <v>553</v>
      </c>
      <c r="C288" s="1"/>
      <c r="D288" s="19"/>
      <c r="E288" s="1"/>
      <c r="F288" s="4" t="s">
        <v>556</v>
      </c>
      <c r="G288" s="1"/>
      <c r="H288" s="1"/>
      <c r="I288" s="1"/>
      <c r="J288" s="19"/>
      <c r="K288" s="1245"/>
      <c r="L288" s="1"/>
      <c r="M288" s="1"/>
      <c r="N288" s="1"/>
      <c r="O288" s="1"/>
      <c r="P288" s="1799"/>
      <c r="Q288" s="1799"/>
      <c r="R288" s="1799"/>
      <c r="S288" s="1799"/>
      <c r="T288" s="1799"/>
      <c r="U288" s="1799"/>
      <c r="V288" s="1799"/>
      <c r="W288" s="1799"/>
      <c r="X288" s="1799"/>
      <c r="Y288" s="1799"/>
      <c r="Z288" s="1799"/>
    </row>
    <row r="289" spans="1:26" ht="18.75" customHeight="1" x14ac:dyDescent="0.2">
      <c r="A289" s="1245"/>
      <c r="B289" s="4" t="s">
        <v>554</v>
      </c>
      <c r="C289" s="1"/>
      <c r="D289" s="19"/>
      <c r="E289" s="1"/>
      <c r="F289" s="1"/>
      <c r="G289" s="1"/>
      <c r="H289" s="1"/>
      <c r="I289" s="1"/>
      <c r="J289" s="1"/>
      <c r="K289" s="1"/>
      <c r="L289" s="1"/>
      <c r="M289" s="1"/>
      <c r="N289" s="1"/>
      <c r="O289" s="1"/>
      <c r="P289" s="1799"/>
      <c r="Q289" s="1799"/>
      <c r="R289" s="1799"/>
      <c r="S289" s="1799"/>
      <c r="T289" s="1799"/>
      <c r="U289" s="1799"/>
      <c r="V289" s="1799"/>
      <c r="W289" s="1799"/>
      <c r="X289" s="1799"/>
      <c r="Y289" s="1799"/>
      <c r="Z289" s="1799"/>
    </row>
    <row r="290" spans="1:26" ht="18.75" customHeight="1" x14ac:dyDescent="0.2">
      <c r="A290" s="1245"/>
      <c r="B290" s="1"/>
      <c r="C290" s="1"/>
      <c r="D290" s="1"/>
      <c r="E290" s="1"/>
      <c r="F290" s="1"/>
      <c r="G290" s="1"/>
      <c r="H290" s="1"/>
      <c r="I290" s="1"/>
      <c r="J290" s="1"/>
      <c r="K290" s="1"/>
      <c r="L290" s="1"/>
      <c r="M290" s="1"/>
      <c r="N290" s="1"/>
      <c r="O290" s="1"/>
      <c r="P290" s="1799"/>
      <c r="Q290" s="1799"/>
      <c r="R290" s="1799"/>
      <c r="S290" s="1799"/>
      <c r="T290" s="1799"/>
      <c r="U290" s="1799"/>
      <c r="V290" s="1799"/>
      <c r="W290" s="1799"/>
      <c r="X290" s="1799"/>
      <c r="Y290" s="1799"/>
      <c r="Z290" s="1799"/>
    </row>
    <row r="291" spans="1:26" ht="18.75" customHeight="1" x14ac:dyDescent="0.2">
      <c r="B291"/>
      <c r="C291"/>
      <c r="D291"/>
      <c r="E291"/>
      <c r="F291"/>
      <c r="G291"/>
      <c r="H291"/>
      <c r="I291"/>
      <c r="J291"/>
      <c r="K291"/>
      <c r="L291"/>
      <c r="M291"/>
    </row>
    <row r="292" spans="1:26" ht="18.75" customHeight="1" x14ac:dyDescent="0.2">
      <c r="B292"/>
      <c r="C292"/>
      <c r="D292"/>
      <c r="E292"/>
      <c r="F292"/>
      <c r="G292"/>
      <c r="H292"/>
      <c r="I292"/>
      <c r="J292"/>
      <c r="K292"/>
      <c r="L292"/>
      <c r="M292"/>
    </row>
    <row r="293" spans="1:26" ht="18.75" customHeight="1" x14ac:dyDescent="0.2">
      <c r="B293"/>
      <c r="C293"/>
      <c r="D293"/>
      <c r="E293"/>
      <c r="F293"/>
      <c r="G293"/>
      <c r="H293"/>
      <c r="I293"/>
      <c r="J293"/>
      <c r="K293"/>
      <c r="L293"/>
      <c r="M293"/>
    </row>
    <row r="294" spans="1:26" x14ac:dyDescent="0.2">
      <c r="B294"/>
      <c r="C294"/>
      <c r="D294"/>
      <c r="E294"/>
      <c r="F294"/>
      <c r="G294"/>
      <c r="H294"/>
      <c r="I294"/>
      <c r="J294"/>
      <c r="K294"/>
      <c r="L294"/>
      <c r="M294"/>
    </row>
    <row r="295" spans="1:26" x14ac:dyDescent="0.2">
      <c r="B295"/>
      <c r="C295"/>
      <c r="D295"/>
      <c r="E295"/>
      <c r="F295"/>
      <c r="G295"/>
      <c r="H295"/>
      <c r="I295"/>
      <c r="J295"/>
      <c r="K295"/>
      <c r="L295"/>
      <c r="M295"/>
    </row>
    <row r="296" spans="1:26" x14ac:dyDescent="0.2">
      <c r="B296"/>
      <c r="C296"/>
      <c r="D296"/>
      <c r="E296"/>
      <c r="F296"/>
      <c r="G296"/>
      <c r="H296"/>
      <c r="I296"/>
      <c r="J296"/>
      <c r="K296"/>
      <c r="L296"/>
      <c r="M296"/>
    </row>
    <row r="297" spans="1:26" x14ac:dyDescent="0.2">
      <c r="B297"/>
      <c r="C297"/>
      <c r="D297"/>
      <c r="E297"/>
      <c r="F297"/>
      <c r="G297"/>
      <c r="H297"/>
      <c r="I297"/>
      <c r="J297"/>
      <c r="K297"/>
      <c r="L297"/>
      <c r="M297"/>
    </row>
  </sheetData>
  <sheetProtection algorithmName="SHA-512" hashValue="gvbSn7rdfQQCkmqnJ1uhc7bNxBcrm0xzPV0qhjlxPVEg7yBkaaajsBPeeTMReB2pLCJ+RCE9vFpHiREGJuXruQ==" saltValue="XaINsztVdUdkNxD5PPIR5g==" spinCount="100000" sheet="1" objects="1" scenarios="1"/>
  <mergeCells count="60">
    <mergeCell ref="D4:F4"/>
    <mergeCell ref="D3:F3"/>
    <mergeCell ref="I3:L3"/>
    <mergeCell ref="I4:L4"/>
    <mergeCell ref="L147:M149"/>
    <mergeCell ref="J55:L58"/>
    <mergeCell ref="J114:K114"/>
    <mergeCell ref="L70:N70"/>
    <mergeCell ref="F53:H53"/>
    <mergeCell ref="J32:M32"/>
    <mergeCell ref="J33:M33"/>
    <mergeCell ref="B72:C72"/>
    <mergeCell ref="AZ48:BB48"/>
    <mergeCell ref="AZ55:BB55"/>
    <mergeCell ref="AZ62:BB62"/>
    <mergeCell ref="AZ72:BB72"/>
    <mergeCell ref="AZ82:BB82"/>
    <mergeCell ref="BH82:BJ82"/>
    <mergeCell ref="AZ95:BB95"/>
    <mergeCell ref="AZ105:BB105"/>
    <mergeCell ref="BD95:BF95"/>
    <mergeCell ref="BD105:BF105"/>
    <mergeCell ref="BD101:BF101"/>
    <mergeCell ref="BD89:BF89"/>
    <mergeCell ref="BH105:BJ105"/>
    <mergeCell ref="BD82:BF82"/>
    <mergeCell ref="AZ101:BB101"/>
    <mergeCell ref="AZ89:BB89"/>
    <mergeCell ref="G246:I246"/>
    <mergeCell ref="M246:N248"/>
    <mergeCell ref="G247:I247"/>
    <mergeCell ref="G243:I243"/>
    <mergeCell ref="H131:I131"/>
    <mergeCell ref="K131:L131"/>
    <mergeCell ref="G228:J228"/>
    <mergeCell ref="G244:I244"/>
    <mergeCell ref="G245:I245"/>
    <mergeCell ref="B237:L237"/>
    <mergeCell ref="B238:L238"/>
    <mergeCell ref="J163:K164"/>
    <mergeCell ref="J161:K161"/>
    <mergeCell ref="D242:E242"/>
    <mergeCell ref="E229:F229"/>
    <mergeCell ref="G229:H229"/>
    <mergeCell ref="B16:C16"/>
    <mergeCell ref="I229:J229"/>
    <mergeCell ref="B112:C112"/>
    <mergeCell ref="AZ110:BB110"/>
    <mergeCell ref="BD110:BF110"/>
    <mergeCell ref="B155:C155"/>
    <mergeCell ref="G145:H145"/>
    <mergeCell ref="BD116:BF116"/>
    <mergeCell ref="BD48:BF48"/>
    <mergeCell ref="BD55:BF55"/>
    <mergeCell ref="BD62:BF62"/>
    <mergeCell ref="BD72:BF72"/>
    <mergeCell ref="BD77:BF77"/>
    <mergeCell ref="B32:C33"/>
    <mergeCell ref="AZ77:BB77"/>
    <mergeCell ref="AZ116:BB116"/>
  </mergeCells>
  <phoneticPr fontId="0" type="noConversion"/>
  <conditionalFormatting sqref="B287:D289">
    <cfRule type="expression" dxfId="135" priority="17" stopIfTrue="1">
      <formula>IF(HS_ModeLapin=1,FALSE,TRUE)</formula>
    </cfRule>
  </conditionalFormatting>
  <conditionalFormatting sqref="F287:J288">
    <cfRule type="expression" dxfId="134" priority="5" stopIfTrue="1">
      <formula>IF(HS_ModeLapin=2,FALSE,TRUE)</formula>
    </cfRule>
  </conditionalFormatting>
  <conditionalFormatting sqref="I206:J206">
    <cfRule type="expression" dxfId="133" priority="96" stopIfTrue="1">
      <formula>IF($AC$206=2,FALSE,TRUE)</formula>
    </cfRule>
  </conditionalFormatting>
  <conditionalFormatting sqref="I217:J217">
    <cfRule type="expression" dxfId="132" priority="67" stopIfTrue="1">
      <formula>IF($AC$217=2,FALSE,TRUE)</formula>
    </cfRule>
  </conditionalFormatting>
  <conditionalFormatting sqref="K217">
    <cfRule type="expression" dxfId="131" priority="84" stopIfTrue="1">
      <formula>IF($AC$217=2,FALSE,TRUE)</formula>
    </cfRule>
  </conditionalFormatting>
  <conditionalFormatting sqref="K206">
    <cfRule type="expression" dxfId="130" priority="95" stopIfTrue="1">
      <formula>IF($AC$206=2,FALSE,TRUE)</formula>
    </cfRule>
  </conditionalFormatting>
  <conditionalFormatting sqref="B185:L185">
    <cfRule type="expression" dxfId="129" priority="100" stopIfTrue="1">
      <formula>IF($AC$63&lt;&gt;2,TRUE,FALSE)</formula>
    </cfRule>
  </conditionalFormatting>
  <conditionalFormatting sqref="B186:L186">
    <cfRule type="expression" dxfId="128" priority="97" stopIfTrue="1">
      <formula>IF($AC$63&lt;&gt;1,TRUE,FALSE)</formula>
    </cfRule>
  </conditionalFormatting>
  <conditionalFormatting sqref="D170:E170 D171:D173">
    <cfRule type="expression" dxfId="127" priority="103" stopIfTrue="1">
      <formula>IF(AND(NOT(ISBLANK($F$162)),NOT(ISBLANK($G$162)),$F$162=0,$G$162=0),TRUE,FALSE)</formula>
    </cfRule>
  </conditionalFormatting>
  <conditionalFormatting sqref="B147:E151">
    <cfRule type="expression" dxfId="126" priority="111" stopIfTrue="1">
      <formula>IF($AC$143=2,TRUE,FALSE)</formula>
    </cfRule>
  </conditionalFormatting>
  <conditionalFormatting sqref="J160:M165">
    <cfRule type="expression" dxfId="125" priority="104" stopIfTrue="1">
      <formula>IF(VL_TypeVela=1,FALSE,TRUE)</formula>
    </cfRule>
  </conditionalFormatting>
  <conditionalFormatting sqref="F171:F173">
    <cfRule type="expression" dxfId="124" priority="102" stopIfTrue="1">
      <formula>IF(AND(NOT(ISBLANK($F$162)),$F$162&gt;0),TRUE,FALSE)</formula>
    </cfRule>
  </conditionalFormatting>
  <conditionalFormatting sqref="G171:G173">
    <cfRule type="expression" dxfId="123" priority="101" stopIfTrue="1">
      <formula>IF(AND(NOT(ISBLANK($G$162)),$G$162&gt;0),TRUE,FALSE)</formula>
    </cfRule>
  </conditionalFormatting>
  <conditionalFormatting sqref="H160:H168">
    <cfRule type="expression" dxfId="122" priority="106" stopIfTrue="1">
      <formula>IF(AND(VL_TypeVela=1,VL_AgeVelPre&lt;=24),TRUE,FALSE)</formula>
    </cfRule>
  </conditionalFormatting>
  <conditionalFormatting sqref="F149:F151">
    <cfRule type="expression" dxfId="121" priority="108" stopIfTrue="1">
      <formula>IF($AG$150=0,TRUE,FALSE)</formula>
    </cfRule>
    <cfRule type="expression" dxfId="120" priority="109" stopIfTrue="1">
      <formula>IF($AC$143=1,FALSE,TRUE)</formula>
    </cfRule>
  </conditionalFormatting>
  <conditionalFormatting sqref="F155:F157">
    <cfRule type="expression" dxfId="119" priority="107" stopIfTrue="1">
      <formula>IF(AE$156=365,TRUE,FALSE)</formula>
    </cfRule>
  </conditionalFormatting>
  <conditionalFormatting sqref="B49:C49">
    <cfRule type="expression" dxfId="118" priority="116" stopIfTrue="1">
      <formula>IF(ISBLANK($AC$45),TRUE,FALSE)</formula>
    </cfRule>
  </conditionalFormatting>
  <conditionalFormatting sqref="D49">
    <cfRule type="expression" dxfId="117" priority="118" stopIfTrue="1">
      <formula>IF(ISBLANK($AC$45),TRUE,FALSE)</formula>
    </cfRule>
  </conditionalFormatting>
  <conditionalFormatting sqref="F49:G49 I49">
    <cfRule type="expression" dxfId="116" priority="119" stopIfTrue="1">
      <formula>IF($AC$45=1,FALSE,TRUE)</formula>
    </cfRule>
  </conditionalFormatting>
  <conditionalFormatting sqref="H49">
    <cfRule type="expression" dxfId="115" priority="120" stopIfTrue="1">
      <formula>IF($AC$45=1,FALSE,TRUE)</formula>
    </cfRule>
  </conditionalFormatting>
  <conditionalFormatting sqref="B145:I146">
    <cfRule type="expression" dxfId="114" priority="112" stopIfTrue="1">
      <formula>IF($AC$143=2,FALSE,TRUE)</formula>
    </cfRule>
  </conditionalFormatting>
  <conditionalFormatting sqref="D57:D58 E56:I58">
    <cfRule type="expression" dxfId="113" priority="114">
      <formula>IF(ISBLANK($D$56),TRUE,FALSE)</formula>
    </cfRule>
  </conditionalFormatting>
  <conditionalFormatting sqref="D64:I64">
    <cfRule type="expression" dxfId="112" priority="113">
      <formula>IF(ISBLANK($D$62),TRUE,FALSE)</formula>
    </cfRule>
  </conditionalFormatting>
  <conditionalFormatting sqref="E44:K47">
    <cfRule type="expression" dxfId="111" priority="121">
      <formula>IF(ISBLANK($D$46),TRUE,FALSE)</formula>
    </cfRule>
  </conditionalFormatting>
  <conditionalFormatting sqref="D50:I50">
    <cfRule type="expression" dxfId="110" priority="115">
      <formula>IF(ISBLANK($D$49),TRUE,FALSE)</formula>
    </cfRule>
  </conditionalFormatting>
  <conditionalFormatting sqref="C213:H213">
    <cfRule type="expression" dxfId="109" priority="85">
      <formula>IF($AC$212=1,FALSE,TRUE)</formula>
    </cfRule>
  </conditionalFormatting>
  <conditionalFormatting sqref="C210:H210">
    <cfRule type="expression" dxfId="108" priority="94">
      <formula>IF($AC$209=1,FALSE,TRUE)</formula>
    </cfRule>
  </conditionalFormatting>
  <conditionalFormatting sqref="C249:E249">
    <cfRule type="expression" dxfId="107" priority="18">
      <formula>IF($L$246=0,TRUE,FALSE)</formula>
    </cfRule>
  </conditionalFormatting>
  <conditionalFormatting sqref="J244:J247">
    <cfRule type="expression" dxfId="106" priority="211">
      <formula>IF(OR(ISBLANK(G244),G244=$AG$244),TRUE,FALSE)</formula>
    </cfRule>
  </conditionalFormatting>
  <conditionalFormatting sqref="I221:J221">
    <cfRule type="expression" dxfId="105" priority="1" stopIfTrue="1">
      <formula>IF($AC$221=2,FALSE,TRUE)</formula>
    </cfRule>
  </conditionalFormatting>
  <conditionalFormatting sqref="K221">
    <cfRule type="expression" dxfId="104" priority="2" stopIfTrue="1">
      <formula>IF($AC$221=2,FALSE,TRUE)</formula>
    </cfRule>
  </conditionalFormatting>
  <dataValidations count="4">
    <dataValidation type="list" allowBlank="1" showInputMessage="1" showErrorMessage="1" sqref="G246:G247">
      <formula1>$AG$244:$AG$247</formula1>
    </dataValidation>
    <dataValidation type="list" allowBlank="1" showInputMessage="1" showErrorMessage="1" sqref="J244:J247">
      <formula1>$AF$244:$AF$245</formula1>
    </dataValidation>
    <dataValidation type="list" allowBlank="1" showInputMessage="1" showErrorMessage="1" sqref="G145:H145">
      <formula1>$AJ$142:$AJ$145</formula1>
    </dataValidation>
    <dataValidation type="list" allowBlank="1" showInputMessage="1" showErrorMessage="1" sqref="G244:I245">
      <formula1>$AH$244:$AH$246</formula1>
    </dataValidation>
  </dataValidations>
  <pageMargins left="0.78740157499999996" right="0.78740157499999996" top="0.984251969" bottom="0.984251969" header="0.4921259845" footer="0.4921259845"/>
  <pageSetup paperSize="9" scale="18"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08" r:id="rId4" name="Group Box 184">
              <controlPr defaultSize="0" autoFill="0" autoPict="0">
                <anchor moveWithCells="1">
                  <from>
                    <xdr:col>6</xdr:col>
                    <xdr:colOff>571500</xdr:colOff>
                    <xdr:row>162</xdr:row>
                    <xdr:rowOff>28575</xdr:rowOff>
                  </from>
                  <to>
                    <xdr:col>7</xdr:col>
                    <xdr:colOff>571500</xdr:colOff>
                    <xdr:row>166</xdr:row>
                    <xdr:rowOff>66675</xdr:rowOff>
                  </to>
                </anchor>
              </controlPr>
            </control>
          </mc:Choice>
        </mc:AlternateContent>
        <mc:AlternateContent xmlns:mc="http://schemas.openxmlformats.org/markup-compatibility/2006">
          <mc:Choice Requires="x14">
            <control shapeId="1053" r:id="rId5" name="Group Box 29">
              <controlPr defaultSize="0" autoFill="0" autoPict="0">
                <anchor moveWithCells="1">
                  <from>
                    <xdr:col>1</xdr:col>
                    <xdr:colOff>0</xdr:colOff>
                    <xdr:row>141</xdr:row>
                    <xdr:rowOff>180975</xdr:rowOff>
                  </from>
                  <to>
                    <xdr:col>7</xdr:col>
                    <xdr:colOff>447675</xdr:colOff>
                    <xdr:row>143</xdr:row>
                    <xdr:rowOff>57150</xdr:rowOff>
                  </to>
                </anchor>
              </controlPr>
            </control>
          </mc:Choice>
        </mc:AlternateContent>
        <mc:AlternateContent xmlns:mc="http://schemas.openxmlformats.org/markup-compatibility/2006">
          <mc:Choice Requires="x14">
            <control shapeId="1054" r:id="rId6" name="Option Button 30">
              <controlPr defaultSize="0" autoFill="0" autoLine="0" autoPict="0">
                <anchor moveWithCells="1">
                  <from>
                    <xdr:col>5</xdr:col>
                    <xdr:colOff>19050</xdr:colOff>
                    <xdr:row>142</xdr:row>
                    <xdr:rowOff>0</xdr:rowOff>
                  </from>
                  <to>
                    <xdr:col>6</xdr:col>
                    <xdr:colOff>28575</xdr:colOff>
                    <xdr:row>143</xdr:row>
                    <xdr:rowOff>0</xdr:rowOff>
                  </to>
                </anchor>
              </controlPr>
            </control>
          </mc:Choice>
        </mc:AlternateContent>
        <mc:AlternateContent xmlns:mc="http://schemas.openxmlformats.org/markup-compatibility/2006">
          <mc:Choice Requires="x14">
            <control shapeId="1056" r:id="rId7" name="Option Button 32">
              <controlPr defaultSize="0" autoFill="0" autoLine="0" autoPict="0">
                <anchor moveWithCells="1">
                  <from>
                    <xdr:col>6</xdr:col>
                    <xdr:colOff>104775</xdr:colOff>
                    <xdr:row>142</xdr:row>
                    <xdr:rowOff>9525</xdr:rowOff>
                  </from>
                  <to>
                    <xdr:col>7</xdr:col>
                    <xdr:colOff>95250</xdr:colOff>
                    <xdr:row>142</xdr:row>
                    <xdr:rowOff>228600</xdr:rowOff>
                  </to>
                </anchor>
              </controlPr>
            </control>
          </mc:Choice>
        </mc:AlternateContent>
        <mc:AlternateContent xmlns:mc="http://schemas.openxmlformats.org/markup-compatibility/2006">
          <mc:Choice Requires="x14">
            <control shapeId="1059" r:id="rId8" name="Group Box 35">
              <controlPr defaultSize="0" autoFill="0" autoPict="0">
                <anchor moveWithCells="1">
                  <from>
                    <xdr:col>5</xdr:col>
                    <xdr:colOff>0</xdr:colOff>
                    <xdr:row>47</xdr:row>
                    <xdr:rowOff>0</xdr:rowOff>
                  </from>
                  <to>
                    <xdr:col>8</xdr:col>
                    <xdr:colOff>409575</xdr:colOff>
                    <xdr:row>48</xdr:row>
                    <xdr:rowOff>9525</xdr:rowOff>
                  </to>
                </anchor>
              </controlPr>
            </control>
          </mc:Choice>
        </mc:AlternateContent>
        <mc:AlternateContent xmlns:mc="http://schemas.openxmlformats.org/markup-compatibility/2006">
          <mc:Choice Requires="x14">
            <control shapeId="1060" r:id="rId9" name="Option Button 36">
              <controlPr defaultSize="0" autoFill="0" autoLine="0" autoPict="0">
                <anchor moveWithCells="1">
                  <from>
                    <xdr:col>6</xdr:col>
                    <xdr:colOff>342900</xdr:colOff>
                    <xdr:row>47</xdr:row>
                    <xdr:rowOff>9525</xdr:rowOff>
                  </from>
                  <to>
                    <xdr:col>7</xdr:col>
                    <xdr:colOff>409575</xdr:colOff>
                    <xdr:row>47</xdr:row>
                    <xdr:rowOff>228600</xdr:rowOff>
                  </to>
                </anchor>
              </controlPr>
            </control>
          </mc:Choice>
        </mc:AlternateContent>
        <mc:AlternateContent xmlns:mc="http://schemas.openxmlformats.org/markup-compatibility/2006">
          <mc:Choice Requires="x14">
            <control shapeId="1061" r:id="rId10" name="Option Button 37">
              <controlPr defaultSize="0" autoFill="0" autoLine="0" autoPict="0">
                <anchor moveWithCells="1">
                  <from>
                    <xdr:col>7</xdr:col>
                    <xdr:colOff>342900</xdr:colOff>
                    <xdr:row>47</xdr:row>
                    <xdr:rowOff>9525</xdr:rowOff>
                  </from>
                  <to>
                    <xdr:col>8</xdr:col>
                    <xdr:colOff>314325</xdr:colOff>
                    <xdr:row>47</xdr:row>
                    <xdr:rowOff>228600</xdr:rowOff>
                  </to>
                </anchor>
              </controlPr>
            </control>
          </mc:Choice>
        </mc:AlternateContent>
        <mc:AlternateContent xmlns:mc="http://schemas.openxmlformats.org/markup-compatibility/2006">
          <mc:Choice Requires="x14">
            <control shapeId="1099" r:id="rId11" name="Option Button 75">
              <controlPr defaultSize="0" autoFill="0" autoLine="0" autoPict="0">
                <anchor moveWithCells="1">
                  <from>
                    <xdr:col>5</xdr:col>
                    <xdr:colOff>57150</xdr:colOff>
                    <xdr:row>170</xdr:row>
                    <xdr:rowOff>19050</xdr:rowOff>
                  </from>
                  <to>
                    <xdr:col>5</xdr:col>
                    <xdr:colOff>390525</xdr:colOff>
                    <xdr:row>171</xdr:row>
                    <xdr:rowOff>0</xdr:rowOff>
                  </to>
                </anchor>
              </controlPr>
            </control>
          </mc:Choice>
        </mc:AlternateContent>
        <mc:AlternateContent xmlns:mc="http://schemas.openxmlformats.org/markup-compatibility/2006">
          <mc:Choice Requires="x14">
            <control shapeId="1103" r:id="rId12" name="Option Button 79">
              <controlPr defaultSize="0" autoFill="0" autoLine="0" autoPict="0">
                <anchor moveWithCells="1">
                  <from>
                    <xdr:col>5</xdr:col>
                    <xdr:colOff>57150</xdr:colOff>
                    <xdr:row>171</xdr:row>
                    <xdr:rowOff>19050</xdr:rowOff>
                  </from>
                  <to>
                    <xdr:col>5</xdr:col>
                    <xdr:colOff>428625</xdr:colOff>
                    <xdr:row>172</xdr:row>
                    <xdr:rowOff>0</xdr:rowOff>
                  </to>
                </anchor>
              </controlPr>
            </control>
          </mc:Choice>
        </mc:AlternateContent>
        <mc:AlternateContent xmlns:mc="http://schemas.openxmlformats.org/markup-compatibility/2006">
          <mc:Choice Requires="x14">
            <control shapeId="1119" r:id="rId13" name="Group Box 95">
              <controlPr defaultSize="0" autoFill="0" autoPict="0">
                <anchor moveWithCells="1">
                  <from>
                    <xdr:col>5</xdr:col>
                    <xdr:colOff>0</xdr:colOff>
                    <xdr:row>54</xdr:row>
                    <xdr:rowOff>0</xdr:rowOff>
                  </from>
                  <to>
                    <xdr:col>8</xdr:col>
                    <xdr:colOff>533400</xdr:colOff>
                    <xdr:row>54</xdr:row>
                    <xdr:rowOff>247650</xdr:rowOff>
                  </to>
                </anchor>
              </controlPr>
            </control>
          </mc:Choice>
        </mc:AlternateContent>
        <mc:AlternateContent xmlns:mc="http://schemas.openxmlformats.org/markup-compatibility/2006">
          <mc:Choice Requires="x14">
            <control shapeId="1120" r:id="rId14" name="Group Box 96">
              <controlPr defaultSize="0" autoFill="0" autoPict="0">
                <anchor moveWithCells="1">
                  <from>
                    <xdr:col>5</xdr:col>
                    <xdr:colOff>0</xdr:colOff>
                    <xdr:row>60</xdr:row>
                    <xdr:rowOff>0</xdr:rowOff>
                  </from>
                  <to>
                    <xdr:col>8</xdr:col>
                    <xdr:colOff>409575</xdr:colOff>
                    <xdr:row>61</xdr:row>
                    <xdr:rowOff>209550</xdr:rowOff>
                  </to>
                </anchor>
              </controlPr>
            </control>
          </mc:Choice>
        </mc:AlternateContent>
        <mc:AlternateContent xmlns:mc="http://schemas.openxmlformats.org/markup-compatibility/2006">
          <mc:Choice Requires="x14">
            <control shapeId="1122" r:id="rId15" name="Option Button 98">
              <controlPr defaultSize="0" autoFill="0" autoLine="0" autoPict="0">
                <anchor moveWithCells="1">
                  <from>
                    <xdr:col>5</xdr:col>
                    <xdr:colOff>85725</xdr:colOff>
                    <xdr:row>54</xdr:row>
                    <xdr:rowOff>9525</xdr:rowOff>
                  </from>
                  <to>
                    <xdr:col>6</xdr:col>
                    <xdr:colOff>9525</xdr:colOff>
                    <xdr:row>54</xdr:row>
                    <xdr:rowOff>228600</xdr:rowOff>
                  </to>
                </anchor>
              </controlPr>
            </control>
          </mc:Choice>
        </mc:AlternateContent>
        <mc:AlternateContent xmlns:mc="http://schemas.openxmlformats.org/markup-compatibility/2006">
          <mc:Choice Requires="x14">
            <control shapeId="1123" r:id="rId16" name="Option Button 99">
              <controlPr defaultSize="0" autoFill="0" autoLine="0" autoPict="0">
                <anchor moveWithCells="1">
                  <from>
                    <xdr:col>6</xdr:col>
                    <xdr:colOff>276225</xdr:colOff>
                    <xdr:row>54</xdr:row>
                    <xdr:rowOff>9525</xdr:rowOff>
                  </from>
                  <to>
                    <xdr:col>7</xdr:col>
                    <xdr:colOff>200025</xdr:colOff>
                    <xdr:row>54</xdr:row>
                    <xdr:rowOff>228600</xdr:rowOff>
                  </to>
                </anchor>
              </controlPr>
            </control>
          </mc:Choice>
        </mc:AlternateContent>
        <mc:AlternateContent xmlns:mc="http://schemas.openxmlformats.org/markup-compatibility/2006">
          <mc:Choice Requires="x14">
            <control shapeId="1124" r:id="rId17" name="Option Button 100">
              <controlPr defaultSize="0" autoFill="0" autoLine="0" autoPict="0">
                <anchor moveWithCells="1">
                  <from>
                    <xdr:col>7</xdr:col>
                    <xdr:colOff>428625</xdr:colOff>
                    <xdr:row>54</xdr:row>
                    <xdr:rowOff>9525</xdr:rowOff>
                  </from>
                  <to>
                    <xdr:col>8</xdr:col>
                    <xdr:colOff>257175</xdr:colOff>
                    <xdr:row>54</xdr:row>
                    <xdr:rowOff>228600</xdr:rowOff>
                  </to>
                </anchor>
              </controlPr>
            </control>
          </mc:Choice>
        </mc:AlternateContent>
        <mc:AlternateContent xmlns:mc="http://schemas.openxmlformats.org/markup-compatibility/2006">
          <mc:Choice Requires="x14">
            <control shapeId="1125" r:id="rId18" name="Option Button 101">
              <controlPr defaultSize="0" autoFill="0" autoLine="0" autoPict="0">
                <anchor moveWithCells="1">
                  <from>
                    <xdr:col>5</xdr:col>
                    <xdr:colOff>85725</xdr:colOff>
                    <xdr:row>60</xdr:row>
                    <xdr:rowOff>9525</xdr:rowOff>
                  </from>
                  <to>
                    <xdr:col>6</xdr:col>
                    <xdr:colOff>38100</xdr:colOff>
                    <xdr:row>61</xdr:row>
                    <xdr:rowOff>190500</xdr:rowOff>
                  </to>
                </anchor>
              </controlPr>
            </control>
          </mc:Choice>
        </mc:AlternateContent>
        <mc:AlternateContent xmlns:mc="http://schemas.openxmlformats.org/markup-compatibility/2006">
          <mc:Choice Requires="x14">
            <control shapeId="1129" r:id="rId19" name="Option Button 105">
              <controlPr defaultSize="0" autoFill="0" autoLine="0" autoPict="0">
                <anchor moveWithCells="1">
                  <from>
                    <xdr:col>6</xdr:col>
                    <xdr:colOff>276225</xdr:colOff>
                    <xdr:row>60</xdr:row>
                    <xdr:rowOff>9525</xdr:rowOff>
                  </from>
                  <to>
                    <xdr:col>7</xdr:col>
                    <xdr:colOff>228600</xdr:colOff>
                    <xdr:row>61</xdr:row>
                    <xdr:rowOff>190500</xdr:rowOff>
                  </to>
                </anchor>
              </controlPr>
            </control>
          </mc:Choice>
        </mc:AlternateContent>
        <mc:AlternateContent xmlns:mc="http://schemas.openxmlformats.org/markup-compatibility/2006">
          <mc:Choice Requires="x14">
            <control shapeId="1130" r:id="rId20" name="Option Button 106">
              <controlPr defaultSize="0" autoFill="0" autoLine="0" autoPict="0">
                <anchor moveWithCells="1">
                  <from>
                    <xdr:col>7</xdr:col>
                    <xdr:colOff>428625</xdr:colOff>
                    <xdr:row>60</xdr:row>
                    <xdr:rowOff>9525</xdr:rowOff>
                  </from>
                  <to>
                    <xdr:col>8</xdr:col>
                    <xdr:colOff>285750</xdr:colOff>
                    <xdr:row>61</xdr:row>
                    <xdr:rowOff>190500</xdr:rowOff>
                  </to>
                </anchor>
              </controlPr>
            </control>
          </mc:Choice>
        </mc:AlternateContent>
        <mc:AlternateContent xmlns:mc="http://schemas.openxmlformats.org/markup-compatibility/2006">
          <mc:Choice Requires="x14">
            <control shapeId="1131" r:id="rId21" name="Group Box 107">
              <controlPr defaultSize="0" autoFill="0" autoPict="0">
                <anchor moveWithCells="1">
                  <from>
                    <xdr:col>4</xdr:col>
                    <xdr:colOff>0</xdr:colOff>
                    <xdr:row>69</xdr:row>
                    <xdr:rowOff>0</xdr:rowOff>
                  </from>
                  <to>
                    <xdr:col>8</xdr:col>
                    <xdr:colOff>0</xdr:colOff>
                    <xdr:row>70</xdr:row>
                    <xdr:rowOff>0</xdr:rowOff>
                  </to>
                </anchor>
              </controlPr>
            </control>
          </mc:Choice>
        </mc:AlternateContent>
        <mc:AlternateContent xmlns:mc="http://schemas.openxmlformats.org/markup-compatibility/2006">
          <mc:Choice Requires="x14">
            <control shapeId="1132" r:id="rId22" name="Option Button 108">
              <controlPr defaultSize="0" autoFill="0" autoLine="0" autoPict="0">
                <anchor moveWithCells="1">
                  <from>
                    <xdr:col>4</xdr:col>
                    <xdr:colOff>85725</xdr:colOff>
                    <xdr:row>69</xdr:row>
                    <xdr:rowOff>9525</xdr:rowOff>
                  </from>
                  <to>
                    <xdr:col>5</xdr:col>
                    <xdr:colOff>9525</xdr:colOff>
                    <xdr:row>69</xdr:row>
                    <xdr:rowOff>228600</xdr:rowOff>
                  </to>
                </anchor>
              </controlPr>
            </control>
          </mc:Choice>
        </mc:AlternateContent>
        <mc:AlternateContent xmlns:mc="http://schemas.openxmlformats.org/markup-compatibility/2006">
          <mc:Choice Requires="x14">
            <control shapeId="1133" r:id="rId23" name="Option Button 109">
              <controlPr defaultSize="0" autoFill="0" autoLine="0" autoPict="0">
                <anchor moveWithCells="1">
                  <from>
                    <xdr:col>5</xdr:col>
                    <xdr:colOff>276225</xdr:colOff>
                    <xdr:row>69</xdr:row>
                    <xdr:rowOff>9525</xdr:rowOff>
                  </from>
                  <to>
                    <xdr:col>6</xdr:col>
                    <xdr:colOff>200025</xdr:colOff>
                    <xdr:row>69</xdr:row>
                    <xdr:rowOff>228600</xdr:rowOff>
                  </to>
                </anchor>
              </controlPr>
            </control>
          </mc:Choice>
        </mc:AlternateContent>
        <mc:AlternateContent xmlns:mc="http://schemas.openxmlformats.org/markup-compatibility/2006">
          <mc:Choice Requires="x14">
            <control shapeId="1134" r:id="rId24" name="Option Button 110">
              <controlPr defaultSize="0" autoFill="0" autoLine="0" autoPict="0">
                <anchor moveWithCells="1">
                  <from>
                    <xdr:col>6</xdr:col>
                    <xdr:colOff>428625</xdr:colOff>
                    <xdr:row>69</xdr:row>
                    <xdr:rowOff>9525</xdr:rowOff>
                  </from>
                  <to>
                    <xdr:col>7</xdr:col>
                    <xdr:colOff>352425</xdr:colOff>
                    <xdr:row>69</xdr:row>
                    <xdr:rowOff>228600</xdr:rowOff>
                  </to>
                </anchor>
              </controlPr>
            </control>
          </mc:Choice>
        </mc:AlternateContent>
        <mc:AlternateContent xmlns:mc="http://schemas.openxmlformats.org/markup-compatibility/2006">
          <mc:Choice Requires="x14">
            <control shapeId="1136" r:id="rId25" name="Group Box 112">
              <controlPr defaultSize="0" autoFill="0" autoPict="0">
                <anchor moveWithCells="1">
                  <from>
                    <xdr:col>4</xdr:col>
                    <xdr:colOff>0</xdr:colOff>
                    <xdr:row>92</xdr:row>
                    <xdr:rowOff>0</xdr:rowOff>
                  </from>
                  <to>
                    <xdr:col>8</xdr:col>
                    <xdr:colOff>0</xdr:colOff>
                    <xdr:row>93</xdr:row>
                    <xdr:rowOff>9525</xdr:rowOff>
                  </to>
                </anchor>
              </controlPr>
            </control>
          </mc:Choice>
        </mc:AlternateContent>
        <mc:AlternateContent xmlns:mc="http://schemas.openxmlformats.org/markup-compatibility/2006">
          <mc:Choice Requires="x14">
            <control shapeId="1137" r:id="rId26" name="Option Button 113">
              <controlPr defaultSize="0" autoFill="0" autoLine="0" autoPict="0">
                <anchor moveWithCells="1">
                  <from>
                    <xdr:col>4</xdr:col>
                    <xdr:colOff>85725</xdr:colOff>
                    <xdr:row>92</xdr:row>
                    <xdr:rowOff>9525</xdr:rowOff>
                  </from>
                  <to>
                    <xdr:col>5</xdr:col>
                    <xdr:colOff>9525</xdr:colOff>
                    <xdr:row>92</xdr:row>
                    <xdr:rowOff>228600</xdr:rowOff>
                  </to>
                </anchor>
              </controlPr>
            </control>
          </mc:Choice>
        </mc:AlternateContent>
        <mc:AlternateContent xmlns:mc="http://schemas.openxmlformats.org/markup-compatibility/2006">
          <mc:Choice Requires="x14">
            <control shapeId="1138" r:id="rId27" name="Option Button 114">
              <controlPr defaultSize="0" autoFill="0" autoLine="0" autoPict="0">
                <anchor moveWithCells="1">
                  <from>
                    <xdr:col>5</xdr:col>
                    <xdr:colOff>276225</xdr:colOff>
                    <xdr:row>92</xdr:row>
                    <xdr:rowOff>9525</xdr:rowOff>
                  </from>
                  <to>
                    <xdr:col>6</xdr:col>
                    <xdr:colOff>200025</xdr:colOff>
                    <xdr:row>92</xdr:row>
                    <xdr:rowOff>228600</xdr:rowOff>
                  </to>
                </anchor>
              </controlPr>
            </control>
          </mc:Choice>
        </mc:AlternateContent>
        <mc:AlternateContent xmlns:mc="http://schemas.openxmlformats.org/markup-compatibility/2006">
          <mc:Choice Requires="x14">
            <control shapeId="1139" r:id="rId28" name="Option Button 115">
              <controlPr defaultSize="0" autoFill="0" autoLine="0" autoPict="0">
                <anchor moveWithCells="1">
                  <from>
                    <xdr:col>6</xdr:col>
                    <xdr:colOff>428625</xdr:colOff>
                    <xdr:row>92</xdr:row>
                    <xdr:rowOff>9525</xdr:rowOff>
                  </from>
                  <to>
                    <xdr:col>7</xdr:col>
                    <xdr:colOff>352425</xdr:colOff>
                    <xdr:row>92</xdr:row>
                    <xdr:rowOff>228600</xdr:rowOff>
                  </to>
                </anchor>
              </controlPr>
            </control>
          </mc:Choice>
        </mc:AlternateContent>
        <mc:AlternateContent xmlns:mc="http://schemas.openxmlformats.org/markup-compatibility/2006">
          <mc:Choice Requires="x14">
            <control shapeId="1140" r:id="rId29" name="Group Box 116">
              <controlPr defaultSize="0" autoFill="0" autoPict="0">
                <anchor moveWithCells="1">
                  <from>
                    <xdr:col>4</xdr:col>
                    <xdr:colOff>0</xdr:colOff>
                    <xdr:row>99</xdr:row>
                    <xdr:rowOff>0</xdr:rowOff>
                  </from>
                  <to>
                    <xdr:col>8</xdr:col>
                    <xdr:colOff>0</xdr:colOff>
                    <xdr:row>100</xdr:row>
                    <xdr:rowOff>0</xdr:rowOff>
                  </to>
                </anchor>
              </controlPr>
            </control>
          </mc:Choice>
        </mc:AlternateContent>
        <mc:AlternateContent xmlns:mc="http://schemas.openxmlformats.org/markup-compatibility/2006">
          <mc:Choice Requires="x14">
            <control shapeId="1141" r:id="rId30" name="Option Button 117">
              <controlPr defaultSize="0" autoFill="0" autoLine="0" autoPict="0">
                <anchor moveWithCells="1">
                  <from>
                    <xdr:col>4</xdr:col>
                    <xdr:colOff>85725</xdr:colOff>
                    <xdr:row>99</xdr:row>
                    <xdr:rowOff>9525</xdr:rowOff>
                  </from>
                  <to>
                    <xdr:col>5</xdr:col>
                    <xdr:colOff>9525</xdr:colOff>
                    <xdr:row>99</xdr:row>
                    <xdr:rowOff>228600</xdr:rowOff>
                  </to>
                </anchor>
              </controlPr>
            </control>
          </mc:Choice>
        </mc:AlternateContent>
        <mc:AlternateContent xmlns:mc="http://schemas.openxmlformats.org/markup-compatibility/2006">
          <mc:Choice Requires="x14">
            <control shapeId="1142" r:id="rId31" name="Option Button 118">
              <controlPr defaultSize="0" autoFill="0" autoLine="0" autoPict="0">
                <anchor moveWithCells="1">
                  <from>
                    <xdr:col>5</xdr:col>
                    <xdr:colOff>276225</xdr:colOff>
                    <xdr:row>99</xdr:row>
                    <xdr:rowOff>9525</xdr:rowOff>
                  </from>
                  <to>
                    <xdr:col>6</xdr:col>
                    <xdr:colOff>200025</xdr:colOff>
                    <xdr:row>99</xdr:row>
                    <xdr:rowOff>228600</xdr:rowOff>
                  </to>
                </anchor>
              </controlPr>
            </control>
          </mc:Choice>
        </mc:AlternateContent>
        <mc:AlternateContent xmlns:mc="http://schemas.openxmlformats.org/markup-compatibility/2006">
          <mc:Choice Requires="x14">
            <control shapeId="1143" r:id="rId32" name="Option Button 119">
              <controlPr defaultSize="0" autoFill="0" autoLine="0" autoPict="0">
                <anchor moveWithCells="1">
                  <from>
                    <xdr:col>6</xdr:col>
                    <xdr:colOff>428625</xdr:colOff>
                    <xdr:row>99</xdr:row>
                    <xdr:rowOff>9525</xdr:rowOff>
                  </from>
                  <to>
                    <xdr:col>7</xdr:col>
                    <xdr:colOff>352425</xdr:colOff>
                    <xdr:row>99</xdr:row>
                    <xdr:rowOff>228600</xdr:rowOff>
                  </to>
                </anchor>
              </controlPr>
            </control>
          </mc:Choice>
        </mc:AlternateContent>
        <mc:AlternateContent xmlns:mc="http://schemas.openxmlformats.org/markup-compatibility/2006">
          <mc:Choice Requires="x14">
            <control shapeId="1144" r:id="rId33" name="Group Box 120">
              <controlPr defaultSize="0" autoFill="0" autoPict="0">
                <anchor moveWithCells="1">
                  <from>
                    <xdr:col>3</xdr:col>
                    <xdr:colOff>0</xdr:colOff>
                    <xdr:row>175</xdr:row>
                    <xdr:rowOff>0</xdr:rowOff>
                  </from>
                  <to>
                    <xdr:col>7</xdr:col>
                    <xdr:colOff>514350</xdr:colOff>
                    <xdr:row>177</xdr:row>
                    <xdr:rowOff>9525</xdr:rowOff>
                  </to>
                </anchor>
              </controlPr>
            </control>
          </mc:Choice>
        </mc:AlternateContent>
        <mc:AlternateContent xmlns:mc="http://schemas.openxmlformats.org/markup-compatibility/2006">
          <mc:Choice Requires="x14">
            <control shapeId="1145" r:id="rId34" name="Option Button 121">
              <controlPr defaultSize="0" autoFill="0" autoLine="0" autoPict="0">
                <anchor moveWithCells="1">
                  <from>
                    <xdr:col>3</xdr:col>
                    <xdr:colOff>47625</xdr:colOff>
                    <xdr:row>175</xdr:row>
                    <xdr:rowOff>9525</xdr:rowOff>
                  </from>
                  <to>
                    <xdr:col>3</xdr:col>
                    <xdr:colOff>561975</xdr:colOff>
                    <xdr:row>175</xdr:row>
                    <xdr:rowOff>228600</xdr:rowOff>
                  </to>
                </anchor>
              </controlPr>
            </control>
          </mc:Choice>
        </mc:AlternateContent>
        <mc:AlternateContent xmlns:mc="http://schemas.openxmlformats.org/markup-compatibility/2006">
          <mc:Choice Requires="x14">
            <control shapeId="1146" r:id="rId35" name="Option Button 122">
              <controlPr defaultSize="0" autoFill="0" autoLine="0" autoPict="0">
                <anchor moveWithCells="1">
                  <from>
                    <xdr:col>4</xdr:col>
                    <xdr:colOff>47625</xdr:colOff>
                    <xdr:row>175</xdr:row>
                    <xdr:rowOff>9525</xdr:rowOff>
                  </from>
                  <to>
                    <xdr:col>4</xdr:col>
                    <xdr:colOff>561975</xdr:colOff>
                    <xdr:row>175</xdr:row>
                    <xdr:rowOff>228600</xdr:rowOff>
                  </to>
                </anchor>
              </controlPr>
            </control>
          </mc:Choice>
        </mc:AlternateContent>
        <mc:AlternateContent xmlns:mc="http://schemas.openxmlformats.org/markup-compatibility/2006">
          <mc:Choice Requires="x14">
            <control shapeId="1147" r:id="rId36" name="Option Button 123">
              <controlPr defaultSize="0" autoFill="0" autoLine="0" autoPict="0">
                <anchor moveWithCells="1">
                  <from>
                    <xdr:col>5</xdr:col>
                    <xdr:colOff>47625</xdr:colOff>
                    <xdr:row>175</xdr:row>
                    <xdr:rowOff>9525</xdr:rowOff>
                  </from>
                  <to>
                    <xdr:col>5</xdr:col>
                    <xdr:colOff>561975</xdr:colOff>
                    <xdr:row>175</xdr:row>
                    <xdr:rowOff>228600</xdr:rowOff>
                  </to>
                </anchor>
              </controlPr>
            </control>
          </mc:Choice>
        </mc:AlternateContent>
        <mc:AlternateContent xmlns:mc="http://schemas.openxmlformats.org/markup-compatibility/2006">
          <mc:Choice Requires="x14">
            <control shapeId="1148" r:id="rId37" name="Option Button 124">
              <controlPr defaultSize="0" autoFill="0" autoLine="0" autoPict="0">
                <anchor moveWithCells="1">
                  <from>
                    <xdr:col>6</xdr:col>
                    <xdr:colOff>47625</xdr:colOff>
                    <xdr:row>175</xdr:row>
                    <xdr:rowOff>9525</xdr:rowOff>
                  </from>
                  <to>
                    <xdr:col>6</xdr:col>
                    <xdr:colOff>561975</xdr:colOff>
                    <xdr:row>175</xdr:row>
                    <xdr:rowOff>228600</xdr:rowOff>
                  </to>
                </anchor>
              </controlPr>
            </control>
          </mc:Choice>
        </mc:AlternateContent>
        <mc:AlternateContent xmlns:mc="http://schemas.openxmlformats.org/markup-compatibility/2006">
          <mc:Choice Requires="x14">
            <control shapeId="1149" r:id="rId38" name="Group Box 125">
              <controlPr defaultSize="0" autoFill="0" autoPict="0">
                <anchor moveWithCells="1">
                  <from>
                    <xdr:col>5</xdr:col>
                    <xdr:colOff>0</xdr:colOff>
                    <xdr:row>62</xdr:row>
                    <xdr:rowOff>0</xdr:rowOff>
                  </from>
                  <to>
                    <xdr:col>8</xdr:col>
                    <xdr:colOff>476250</xdr:colOff>
                    <xdr:row>63</xdr:row>
                    <xdr:rowOff>9525</xdr:rowOff>
                  </to>
                </anchor>
              </controlPr>
            </control>
          </mc:Choice>
        </mc:AlternateContent>
        <mc:AlternateContent xmlns:mc="http://schemas.openxmlformats.org/markup-compatibility/2006">
          <mc:Choice Requires="x14">
            <control shapeId="1150" r:id="rId39" name="Option Button 126">
              <controlPr defaultSize="0" autoFill="0" autoLine="0" autoPict="0">
                <anchor moveWithCells="1">
                  <from>
                    <xdr:col>6</xdr:col>
                    <xdr:colOff>304800</xdr:colOff>
                    <xdr:row>62</xdr:row>
                    <xdr:rowOff>9525</xdr:rowOff>
                  </from>
                  <to>
                    <xdr:col>7</xdr:col>
                    <xdr:colOff>428625</xdr:colOff>
                    <xdr:row>62</xdr:row>
                    <xdr:rowOff>228600</xdr:rowOff>
                  </to>
                </anchor>
              </controlPr>
            </control>
          </mc:Choice>
        </mc:AlternateContent>
        <mc:AlternateContent xmlns:mc="http://schemas.openxmlformats.org/markup-compatibility/2006">
          <mc:Choice Requires="x14">
            <control shapeId="1151" r:id="rId40" name="Option Button 127">
              <controlPr defaultSize="0" autoFill="0" autoLine="0" autoPict="0">
                <anchor moveWithCells="1">
                  <from>
                    <xdr:col>7</xdr:col>
                    <xdr:colOff>447675</xdr:colOff>
                    <xdr:row>62</xdr:row>
                    <xdr:rowOff>9525</xdr:rowOff>
                  </from>
                  <to>
                    <xdr:col>8</xdr:col>
                    <xdr:colOff>361950</xdr:colOff>
                    <xdr:row>62</xdr:row>
                    <xdr:rowOff>228600</xdr:rowOff>
                  </to>
                </anchor>
              </controlPr>
            </control>
          </mc:Choice>
        </mc:AlternateContent>
        <mc:AlternateContent xmlns:mc="http://schemas.openxmlformats.org/markup-compatibility/2006">
          <mc:Choice Requires="x14">
            <control shapeId="1152" r:id="rId41" name="Group Box 128">
              <controlPr defaultSize="0" autoFill="0" autoPict="0">
                <anchor moveWithCells="1">
                  <from>
                    <xdr:col>3</xdr:col>
                    <xdr:colOff>0</xdr:colOff>
                    <xdr:row>183</xdr:row>
                    <xdr:rowOff>0</xdr:rowOff>
                  </from>
                  <to>
                    <xdr:col>7</xdr:col>
                    <xdr:colOff>200025</xdr:colOff>
                    <xdr:row>184</xdr:row>
                    <xdr:rowOff>9525</xdr:rowOff>
                  </to>
                </anchor>
              </controlPr>
            </control>
          </mc:Choice>
        </mc:AlternateContent>
        <mc:AlternateContent xmlns:mc="http://schemas.openxmlformats.org/markup-compatibility/2006">
          <mc:Choice Requires="x14">
            <control shapeId="1153" r:id="rId42" name="Option Button 129">
              <controlPr defaultSize="0" autoFill="0" autoLine="0" autoPict="0">
                <anchor moveWithCells="1">
                  <from>
                    <xdr:col>3</xdr:col>
                    <xdr:colOff>47625</xdr:colOff>
                    <xdr:row>183</xdr:row>
                    <xdr:rowOff>9525</xdr:rowOff>
                  </from>
                  <to>
                    <xdr:col>3</xdr:col>
                    <xdr:colOff>561975</xdr:colOff>
                    <xdr:row>183</xdr:row>
                    <xdr:rowOff>228600</xdr:rowOff>
                  </to>
                </anchor>
              </controlPr>
            </control>
          </mc:Choice>
        </mc:AlternateContent>
        <mc:AlternateContent xmlns:mc="http://schemas.openxmlformats.org/markup-compatibility/2006">
          <mc:Choice Requires="x14">
            <control shapeId="1154" r:id="rId43" name="Option Button 130">
              <controlPr defaultSize="0" autoFill="0" autoLine="0" autoPict="0">
                <anchor moveWithCells="1">
                  <from>
                    <xdr:col>4</xdr:col>
                    <xdr:colOff>47625</xdr:colOff>
                    <xdr:row>183</xdr:row>
                    <xdr:rowOff>9525</xdr:rowOff>
                  </from>
                  <to>
                    <xdr:col>4</xdr:col>
                    <xdr:colOff>561975</xdr:colOff>
                    <xdr:row>183</xdr:row>
                    <xdr:rowOff>228600</xdr:rowOff>
                  </to>
                </anchor>
              </controlPr>
            </control>
          </mc:Choice>
        </mc:AlternateContent>
        <mc:AlternateContent xmlns:mc="http://schemas.openxmlformats.org/markup-compatibility/2006">
          <mc:Choice Requires="x14">
            <control shapeId="1155" r:id="rId44" name="Option Button 131">
              <controlPr defaultSize="0" autoFill="0" autoLine="0" autoPict="0">
                <anchor moveWithCells="1">
                  <from>
                    <xdr:col>5</xdr:col>
                    <xdr:colOff>47625</xdr:colOff>
                    <xdr:row>183</xdr:row>
                    <xdr:rowOff>9525</xdr:rowOff>
                  </from>
                  <to>
                    <xdr:col>5</xdr:col>
                    <xdr:colOff>561975</xdr:colOff>
                    <xdr:row>183</xdr:row>
                    <xdr:rowOff>228600</xdr:rowOff>
                  </to>
                </anchor>
              </controlPr>
            </control>
          </mc:Choice>
        </mc:AlternateContent>
        <mc:AlternateContent xmlns:mc="http://schemas.openxmlformats.org/markup-compatibility/2006">
          <mc:Choice Requires="x14">
            <control shapeId="1156" r:id="rId45" name="Option Button 132">
              <controlPr defaultSize="0" autoFill="0" autoLine="0" autoPict="0">
                <anchor moveWithCells="1">
                  <from>
                    <xdr:col>6</xdr:col>
                    <xdr:colOff>47625</xdr:colOff>
                    <xdr:row>183</xdr:row>
                    <xdr:rowOff>9525</xdr:rowOff>
                  </from>
                  <to>
                    <xdr:col>6</xdr:col>
                    <xdr:colOff>561975</xdr:colOff>
                    <xdr:row>183</xdr:row>
                    <xdr:rowOff>228600</xdr:rowOff>
                  </to>
                </anchor>
              </controlPr>
            </control>
          </mc:Choice>
        </mc:AlternateContent>
        <mc:AlternateContent xmlns:mc="http://schemas.openxmlformats.org/markup-compatibility/2006">
          <mc:Choice Requires="x14">
            <control shapeId="1158" r:id="rId46" name="Option Button 134">
              <controlPr defaultSize="0" autoFill="0" autoLine="0" autoPict="0">
                <anchor moveWithCells="1">
                  <from>
                    <xdr:col>3</xdr:col>
                    <xdr:colOff>47625</xdr:colOff>
                    <xdr:row>184</xdr:row>
                    <xdr:rowOff>9525</xdr:rowOff>
                  </from>
                  <to>
                    <xdr:col>3</xdr:col>
                    <xdr:colOff>561975</xdr:colOff>
                    <xdr:row>184</xdr:row>
                    <xdr:rowOff>228600</xdr:rowOff>
                  </to>
                </anchor>
              </controlPr>
            </control>
          </mc:Choice>
        </mc:AlternateContent>
        <mc:AlternateContent xmlns:mc="http://schemas.openxmlformats.org/markup-compatibility/2006">
          <mc:Choice Requires="x14">
            <control shapeId="1159" r:id="rId47" name="Option Button 135">
              <controlPr defaultSize="0" autoFill="0" autoLine="0" autoPict="0">
                <anchor moveWithCells="1">
                  <from>
                    <xdr:col>4</xdr:col>
                    <xdr:colOff>47625</xdr:colOff>
                    <xdr:row>184</xdr:row>
                    <xdr:rowOff>9525</xdr:rowOff>
                  </from>
                  <to>
                    <xdr:col>4</xdr:col>
                    <xdr:colOff>561975</xdr:colOff>
                    <xdr:row>184</xdr:row>
                    <xdr:rowOff>228600</xdr:rowOff>
                  </to>
                </anchor>
              </controlPr>
            </control>
          </mc:Choice>
        </mc:AlternateContent>
        <mc:AlternateContent xmlns:mc="http://schemas.openxmlformats.org/markup-compatibility/2006">
          <mc:Choice Requires="x14">
            <control shapeId="1160" r:id="rId48" name="Option Button 136">
              <controlPr defaultSize="0" autoFill="0" autoLine="0" autoPict="0">
                <anchor moveWithCells="1">
                  <from>
                    <xdr:col>5</xdr:col>
                    <xdr:colOff>47625</xdr:colOff>
                    <xdr:row>184</xdr:row>
                    <xdr:rowOff>9525</xdr:rowOff>
                  </from>
                  <to>
                    <xdr:col>5</xdr:col>
                    <xdr:colOff>561975</xdr:colOff>
                    <xdr:row>184</xdr:row>
                    <xdr:rowOff>228600</xdr:rowOff>
                  </to>
                </anchor>
              </controlPr>
            </control>
          </mc:Choice>
        </mc:AlternateContent>
        <mc:AlternateContent xmlns:mc="http://schemas.openxmlformats.org/markup-compatibility/2006">
          <mc:Choice Requires="x14">
            <control shapeId="1161" r:id="rId49" name="Option Button 137">
              <controlPr defaultSize="0" autoFill="0" autoLine="0" autoPict="0">
                <anchor moveWithCells="1">
                  <from>
                    <xdr:col>6</xdr:col>
                    <xdr:colOff>47625</xdr:colOff>
                    <xdr:row>184</xdr:row>
                    <xdr:rowOff>9525</xdr:rowOff>
                  </from>
                  <to>
                    <xdr:col>6</xdr:col>
                    <xdr:colOff>561975</xdr:colOff>
                    <xdr:row>184</xdr:row>
                    <xdr:rowOff>228600</xdr:rowOff>
                  </to>
                </anchor>
              </controlPr>
            </control>
          </mc:Choice>
        </mc:AlternateContent>
        <mc:AlternateContent xmlns:mc="http://schemas.openxmlformats.org/markup-compatibility/2006">
          <mc:Choice Requires="x14">
            <control shapeId="1162" r:id="rId50" name="Group Box 138">
              <controlPr defaultSize="0" autoFill="0" autoPict="0">
                <anchor moveWithCells="1">
                  <from>
                    <xdr:col>3</xdr:col>
                    <xdr:colOff>0</xdr:colOff>
                    <xdr:row>184</xdr:row>
                    <xdr:rowOff>0</xdr:rowOff>
                  </from>
                  <to>
                    <xdr:col>7</xdr:col>
                    <xdr:colOff>200025</xdr:colOff>
                    <xdr:row>185</xdr:row>
                    <xdr:rowOff>9525</xdr:rowOff>
                  </to>
                </anchor>
              </controlPr>
            </control>
          </mc:Choice>
        </mc:AlternateContent>
        <mc:AlternateContent xmlns:mc="http://schemas.openxmlformats.org/markup-compatibility/2006">
          <mc:Choice Requires="x14">
            <control shapeId="1163" r:id="rId51" name="Group Box 139">
              <controlPr defaultSize="0" autoFill="0" autoPict="0">
                <anchor moveWithCells="1">
                  <from>
                    <xdr:col>3</xdr:col>
                    <xdr:colOff>0</xdr:colOff>
                    <xdr:row>185</xdr:row>
                    <xdr:rowOff>0</xdr:rowOff>
                  </from>
                  <to>
                    <xdr:col>6</xdr:col>
                    <xdr:colOff>247650</xdr:colOff>
                    <xdr:row>186</xdr:row>
                    <xdr:rowOff>9525</xdr:rowOff>
                  </to>
                </anchor>
              </controlPr>
            </control>
          </mc:Choice>
        </mc:AlternateContent>
        <mc:AlternateContent xmlns:mc="http://schemas.openxmlformats.org/markup-compatibility/2006">
          <mc:Choice Requires="x14">
            <control shapeId="1164" r:id="rId52" name="Option Button 140">
              <controlPr defaultSize="0" autoFill="0" autoLine="0" autoPict="0">
                <anchor moveWithCells="1">
                  <from>
                    <xdr:col>3</xdr:col>
                    <xdr:colOff>47625</xdr:colOff>
                    <xdr:row>185</xdr:row>
                    <xdr:rowOff>9525</xdr:rowOff>
                  </from>
                  <to>
                    <xdr:col>3</xdr:col>
                    <xdr:colOff>561975</xdr:colOff>
                    <xdr:row>185</xdr:row>
                    <xdr:rowOff>228600</xdr:rowOff>
                  </to>
                </anchor>
              </controlPr>
            </control>
          </mc:Choice>
        </mc:AlternateContent>
        <mc:AlternateContent xmlns:mc="http://schemas.openxmlformats.org/markup-compatibility/2006">
          <mc:Choice Requires="x14">
            <control shapeId="1165" r:id="rId53" name="Option Button 141">
              <controlPr defaultSize="0" autoFill="0" autoLine="0" autoPict="0">
                <anchor moveWithCells="1">
                  <from>
                    <xdr:col>4</xdr:col>
                    <xdr:colOff>47625</xdr:colOff>
                    <xdr:row>185</xdr:row>
                    <xdr:rowOff>9525</xdr:rowOff>
                  </from>
                  <to>
                    <xdr:col>4</xdr:col>
                    <xdr:colOff>561975</xdr:colOff>
                    <xdr:row>185</xdr:row>
                    <xdr:rowOff>228600</xdr:rowOff>
                  </to>
                </anchor>
              </controlPr>
            </control>
          </mc:Choice>
        </mc:AlternateContent>
        <mc:AlternateContent xmlns:mc="http://schemas.openxmlformats.org/markup-compatibility/2006">
          <mc:Choice Requires="x14">
            <control shapeId="1169" r:id="rId54" name="Option Button 145">
              <controlPr defaultSize="0" autoFill="0" autoLine="0" autoPict="0">
                <anchor moveWithCells="1">
                  <from>
                    <xdr:col>9</xdr:col>
                    <xdr:colOff>95250</xdr:colOff>
                    <xdr:row>175</xdr:row>
                    <xdr:rowOff>0</xdr:rowOff>
                  </from>
                  <to>
                    <xdr:col>9</xdr:col>
                    <xdr:colOff>514350</xdr:colOff>
                    <xdr:row>175</xdr:row>
                    <xdr:rowOff>219075</xdr:rowOff>
                  </to>
                </anchor>
              </controlPr>
            </control>
          </mc:Choice>
        </mc:AlternateContent>
        <mc:AlternateContent xmlns:mc="http://schemas.openxmlformats.org/markup-compatibility/2006">
          <mc:Choice Requires="x14">
            <control shapeId="1170" r:id="rId55" name="Option Button 146">
              <controlPr defaultSize="0" autoFill="0" autoLine="0" autoPict="0">
                <anchor moveWithCells="1">
                  <from>
                    <xdr:col>10</xdr:col>
                    <xdr:colOff>47625</xdr:colOff>
                    <xdr:row>175</xdr:row>
                    <xdr:rowOff>0</xdr:rowOff>
                  </from>
                  <to>
                    <xdr:col>10</xdr:col>
                    <xdr:colOff>466725</xdr:colOff>
                    <xdr:row>175</xdr:row>
                    <xdr:rowOff>219075</xdr:rowOff>
                  </to>
                </anchor>
              </controlPr>
            </control>
          </mc:Choice>
        </mc:AlternateContent>
        <mc:AlternateContent xmlns:mc="http://schemas.openxmlformats.org/markup-compatibility/2006">
          <mc:Choice Requires="x14">
            <control shapeId="1172" r:id="rId56" name="Option Button 148">
              <controlPr defaultSize="0" autoFill="0" autoLine="0" autoPict="0">
                <anchor moveWithCells="1">
                  <from>
                    <xdr:col>9</xdr:col>
                    <xdr:colOff>95250</xdr:colOff>
                    <xdr:row>183</xdr:row>
                    <xdr:rowOff>0</xdr:rowOff>
                  </from>
                  <to>
                    <xdr:col>9</xdr:col>
                    <xdr:colOff>514350</xdr:colOff>
                    <xdr:row>183</xdr:row>
                    <xdr:rowOff>219075</xdr:rowOff>
                  </to>
                </anchor>
              </controlPr>
            </control>
          </mc:Choice>
        </mc:AlternateContent>
        <mc:AlternateContent xmlns:mc="http://schemas.openxmlformats.org/markup-compatibility/2006">
          <mc:Choice Requires="x14">
            <control shapeId="1173" r:id="rId57" name="Option Button 149">
              <controlPr defaultSize="0" autoFill="0" autoLine="0" autoPict="0">
                <anchor moveWithCells="1">
                  <from>
                    <xdr:col>10</xdr:col>
                    <xdr:colOff>47625</xdr:colOff>
                    <xdr:row>183</xdr:row>
                    <xdr:rowOff>0</xdr:rowOff>
                  </from>
                  <to>
                    <xdr:col>10</xdr:col>
                    <xdr:colOff>466725</xdr:colOff>
                    <xdr:row>183</xdr:row>
                    <xdr:rowOff>219075</xdr:rowOff>
                  </to>
                </anchor>
              </controlPr>
            </control>
          </mc:Choice>
        </mc:AlternateContent>
        <mc:AlternateContent xmlns:mc="http://schemas.openxmlformats.org/markup-compatibility/2006">
          <mc:Choice Requires="x14">
            <control shapeId="1174" r:id="rId58" name="Group Box 150">
              <controlPr defaultSize="0" autoFill="0" autoPict="0">
                <anchor moveWithCells="1">
                  <from>
                    <xdr:col>9</xdr:col>
                    <xdr:colOff>0</xdr:colOff>
                    <xdr:row>184</xdr:row>
                    <xdr:rowOff>228600</xdr:rowOff>
                  </from>
                  <to>
                    <xdr:col>11</xdr:col>
                    <xdr:colOff>209550</xdr:colOff>
                    <xdr:row>186</xdr:row>
                    <xdr:rowOff>0</xdr:rowOff>
                  </to>
                </anchor>
              </controlPr>
            </control>
          </mc:Choice>
        </mc:AlternateContent>
        <mc:AlternateContent xmlns:mc="http://schemas.openxmlformats.org/markup-compatibility/2006">
          <mc:Choice Requires="x14">
            <control shapeId="1175" r:id="rId59" name="Option Button 151">
              <controlPr defaultSize="0" autoFill="0" autoLine="0" autoPict="0">
                <anchor moveWithCells="1">
                  <from>
                    <xdr:col>9</xdr:col>
                    <xdr:colOff>95250</xdr:colOff>
                    <xdr:row>185</xdr:row>
                    <xdr:rowOff>0</xdr:rowOff>
                  </from>
                  <to>
                    <xdr:col>9</xdr:col>
                    <xdr:colOff>514350</xdr:colOff>
                    <xdr:row>185</xdr:row>
                    <xdr:rowOff>219075</xdr:rowOff>
                  </to>
                </anchor>
              </controlPr>
            </control>
          </mc:Choice>
        </mc:AlternateContent>
        <mc:AlternateContent xmlns:mc="http://schemas.openxmlformats.org/markup-compatibility/2006">
          <mc:Choice Requires="x14">
            <control shapeId="1176" r:id="rId60" name="Option Button 152">
              <controlPr defaultSize="0" autoFill="0" autoLine="0" autoPict="0">
                <anchor moveWithCells="1">
                  <from>
                    <xdr:col>10</xdr:col>
                    <xdr:colOff>47625</xdr:colOff>
                    <xdr:row>185</xdr:row>
                    <xdr:rowOff>0</xdr:rowOff>
                  </from>
                  <to>
                    <xdr:col>10</xdr:col>
                    <xdr:colOff>466725</xdr:colOff>
                    <xdr:row>185</xdr:row>
                    <xdr:rowOff>219075</xdr:rowOff>
                  </to>
                </anchor>
              </controlPr>
            </control>
          </mc:Choice>
        </mc:AlternateContent>
        <mc:AlternateContent xmlns:mc="http://schemas.openxmlformats.org/markup-compatibility/2006">
          <mc:Choice Requires="x14">
            <control shapeId="1180" r:id="rId61" name="Group Box 156">
              <controlPr defaultSize="0" autoFill="0" autoPict="0">
                <anchor moveWithCells="1">
                  <from>
                    <xdr:col>5</xdr:col>
                    <xdr:colOff>0</xdr:colOff>
                    <xdr:row>205</xdr:row>
                    <xdr:rowOff>0</xdr:rowOff>
                  </from>
                  <to>
                    <xdr:col>7</xdr:col>
                    <xdr:colOff>209550</xdr:colOff>
                    <xdr:row>206</xdr:row>
                    <xdr:rowOff>9525</xdr:rowOff>
                  </to>
                </anchor>
              </controlPr>
            </control>
          </mc:Choice>
        </mc:AlternateContent>
        <mc:AlternateContent xmlns:mc="http://schemas.openxmlformats.org/markup-compatibility/2006">
          <mc:Choice Requires="x14">
            <control shapeId="1181" r:id="rId62" name="Option Button 157">
              <controlPr defaultSize="0" autoFill="0" autoLine="0" autoPict="0">
                <anchor moveWithCells="1">
                  <from>
                    <xdr:col>5</xdr:col>
                    <xdr:colOff>47625</xdr:colOff>
                    <xdr:row>205</xdr:row>
                    <xdr:rowOff>9525</xdr:rowOff>
                  </from>
                  <to>
                    <xdr:col>5</xdr:col>
                    <xdr:colOff>561975</xdr:colOff>
                    <xdr:row>205</xdr:row>
                    <xdr:rowOff>228600</xdr:rowOff>
                  </to>
                </anchor>
              </controlPr>
            </control>
          </mc:Choice>
        </mc:AlternateContent>
        <mc:AlternateContent xmlns:mc="http://schemas.openxmlformats.org/markup-compatibility/2006">
          <mc:Choice Requires="x14">
            <control shapeId="1182" r:id="rId63" name="Option Button 158">
              <controlPr defaultSize="0" autoFill="0" autoLine="0" autoPict="0">
                <anchor moveWithCells="1">
                  <from>
                    <xdr:col>6</xdr:col>
                    <xdr:colOff>47625</xdr:colOff>
                    <xdr:row>205</xdr:row>
                    <xdr:rowOff>9525</xdr:rowOff>
                  </from>
                  <to>
                    <xdr:col>6</xdr:col>
                    <xdr:colOff>561975</xdr:colOff>
                    <xdr:row>205</xdr:row>
                    <xdr:rowOff>228600</xdr:rowOff>
                  </to>
                </anchor>
              </controlPr>
            </control>
          </mc:Choice>
        </mc:AlternateContent>
        <mc:AlternateContent xmlns:mc="http://schemas.openxmlformats.org/markup-compatibility/2006">
          <mc:Choice Requires="x14">
            <control shapeId="1184" r:id="rId64" name="Group Box 160">
              <controlPr defaultSize="0" autoFill="0" autoPict="0">
                <anchor moveWithCells="1">
                  <from>
                    <xdr:col>5</xdr:col>
                    <xdr:colOff>0</xdr:colOff>
                    <xdr:row>216</xdr:row>
                    <xdr:rowOff>0</xdr:rowOff>
                  </from>
                  <to>
                    <xdr:col>7</xdr:col>
                    <xdr:colOff>219075</xdr:colOff>
                    <xdr:row>217</xdr:row>
                    <xdr:rowOff>9525</xdr:rowOff>
                  </to>
                </anchor>
              </controlPr>
            </control>
          </mc:Choice>
        </mc:AlternateContent>
        <mc:AlternateContent xmlns:mc="http://schemas.openxmlformats.org/markup-compatibility/2006">
          <mc:Choice Requires="x14">
            <control shapeId="1185" r:id="rId65" name="Option Button 161">
              <controlPr defaultSize="0" autoFill="0" autoLine="0" autoPict="0">
                <anchor moveWithCells="1">
                  <from>
                    <xdr:col>5</xdr:col>
                    <xdr:colOff>47625</xdr:colOff>
                    <xdr:row>216</xdr:row>
                    <xdr:rowOff>9525</xdr:rowOff>
                  </from>
                  <to>
                    <xdr:col>5</xdr:col>
                    <xdr:colOff>561975</xdr:colOff>
                    <xdr:row>216</xdr:row>
                    <xdr:rowOff>228600</xdr:rowOff>
                  </to>
                </anchor>
              </controlPr>
            </control>
          </mc:Choice>
        </mc:AlternateContent>
        <mc:AlternateContent xmlns:mc="http://schemas.openxmlformats.org/markup-compatibility/2006">
          <mc:Choice Requires="x14">
            <control shapeId="1186" r:id="rId66" name="Option Button 162">
              <controlPr defaultSize="0" autoFill="0" autoLine="0" autoPict="0">
                <anchor moveWithCells="1">
                  <from>
                    <xdr:col>6</xdr:col>
                    <xdr:colOff>47625</xdr:colOff>
                    <xdr:row>216</xdr:row>
                    <xdr:rowOff>9525</xdr:rowOff>
                  </from>
                  <to>
                    <xdr:col>6</xdr:col>
                    <xdr:colOff>561975</xdr:colOff>
                    <xdr:row>216</xdr:row>
                    <xdr:rowOff>228600</xdr:rowOff>
                  </to>
                </anchor>
              </controlPr>
            </control>
          </mc:Choice>
        </mc:AlternateContent>
        <mc:AlternateContent xmlns:mc="http://schemas.openxmlformats.org/markup-compatibility/2006">
          <mc:Choice Requires="x14">
            <control shapeId="1188" r:id="rId67" name="Group Box 164">
              <controlPr defaultSize="0" autoFill="0" autoPict="0">
                <anchor moveWithCells="1">
                  <from>
                    <xdr:col>3</xdr:col>
                    <xdr:colOff>0</xdr:colOff>
                    <xdr:row>222</xdr:row>
                    <xdr:rowOff>0</xdr:rowOff>
                  </from>
                  <to>
                    <xdr:col>7</xdr:col>
                    <xdr:colOff>238125</xdr:colOff>
                    <xdr:row>223</xdr:row>
                    <xdr:rowOff>9525</xdr:rowOff>
                  </to>
                </anchor>
              </controlPr>
            </control>
          </mc:Choice>
        </mc:AlternateContent>
        <mc:AlternateContent xmlns:mc="http://schemas.openxmlformats.org/markup-compatibility/2006">
          <mc:Choice Requires="x14">
            <control shapeId="1189" r:id="rId68" name="Option Button 165">
              <controlPr defaultSize="0" autoFill="0" autoLine="0" autoPict="0">
                <anchor moveWithCells="1">
                  <from>
                    <xdr:col>3</xdr:col>
                    <xdr:colOff>47625</xdr:colOff>
                    <xdr:row>222</xdr:row>
                    <xdr:rowOff>9525</xdr:rowOff>
                  </from>
                  <to>
                    <xdr:col>4</xdr:col>
                    <xdr:colOff>104775</xdr:colOff>
                    <xdr:row>222</xdr:row>
                    <xdr:rowOff>228600</xdr:rowOff>
                  </to>
                </anchor>
              </controlPr>
            </control>
          </mc:Choice>
        </mc:AlternateContent>
        <mc:AlternateContent xmlns:mc="http://schemas.openxmlformats.org/markup-compatibility/2006">
          <mc:Choice Requires="x14">
            <control shapeId="1190" r:id="rId69" name="Option Button 166">
              <controlPr defaultSize="0" autoFill="0" autoLine="0" autoPict="0">
                <anchor moveWithCells="1">
                  <from>
                    <xdr:col>4</xdr:col>
                    <xdr:colOff>228600</xdr:colOff>
                    <xdr:row>222</xdr:row>
                    <xdr:rowOff>9525</xdr:rowOff>
                  </from>
                  <to>
                    <xdr:col>5</xdr:col>
                    <xdr:colOff>333375</xdr:colOff>
                    <xdr:row>222</xdr:row>
                    <xdr:rowOff>228600</xdr:rowOff>
                  </to>
                </anchor>
              </controlPr>
            </control>
          </mc:Choice>
        </mc:AlternateContent>
        <mc:AlternateContent xmlns:mc="http://schemas.openxmlformats.org/markup-compatibility/2006">
          <mc:Choice Requires="x14">
            <control shapeId="1191" r:id="rId70" name="Option Button 167">
              <controlPr defaultSize="0" autoFill="0" autoLine="0" autoPict="0">
                <anchor moveWithCells="1">
                  <from>
                    <xdr:col>5</xdr:col>
                    <xdr:colOff>409575</xdr:colOff>
                    <xdr:row>222</xdr:row>
                    <xdr:rowOff>9525</xdr:rowOff>
                  </from>
                  <to>
                    <xdr:col>6</xdr:col>
                    <xdr:colOff>514350</xdr:colOff>
                    <xdr:row>222</xdr:row>
                    <xdr:rowOff>228600</xdr:rowOff>
                  </to>
                </anchor>
              </controlPr>
            </control>
          </mc:Choice>
        </mc:AlternateContent>
        <mc:AlternateContent xmlns:mc="http://schemas.openxmlformats.org/markup-compatibility/2006">
          <mc:Choice Requires="x14">
            <control shapeId="1192" r:id="rId71" name="Group Box 168">
              <controlPr defaultSize="0" autoFill="0" autoPict="0">
                <anchor moveWithCells="1">
                  <from>
                    <xdr:col>9</xdr:col>
                    <xdr:colOff>0</xdr:colOff>
                    <xdr:row>184</xdr:row>
                    <xdr:rowOff>0</xdr:rowOff>
                  </from>
                  <to>
                    <xdr:col>11</xdr:col>
                    <xdr:colOff>209550</xdr:colOff>
                    <xdr:row>185</xdr:row>
                    <xdr:rowOff>9525</xdr:rowOff>
                  </to>
                </anchor>
              </controlPr>
            </control>
          </mc:Choice>
        </mc:AlternateContent>
        <mc:AlternateContent xmlns:mc="http://schemas.openxmlformats.org/markup-compatibility/2006">
          <mc:Choice Requires="x14">
            <control shapeId="1193" r:id="rId72" name="Option Button 169">
              <controlPr defaultSize="0" autoFill="0" autoLine="0" autoPict="0">
                <anchor moveWithCells="1">
                  <from>
                    <xdr:col>9</xdr:col>
                    <xdr:colOff>95250</xdr:colOff>
                    <xdr:row>184</xdr:row>
                    <xdr:rowOff>0</xdr:rowOff>
                  </from>
                  <to>
                    <xdr:col>9</xdr:col>
                    <xdr:colOff>514350</xdr:colOff>
                    <xdr:row>184</xdr:row>
                    <xdr:rowOff>219075</xdr:rowOff>
                  </to>
                </anchor>
              </controlPr>
            </control>
          </mc:Choice>
        </mc:AlternateContent>
        <mc:AlternateContent xmlns:mc="http://schemas.openxmlformats.org/markup-compatibility/2006">
          <mc:Choice Requires="x14">
            <control shapeId="1194" r:id="rId73" name="Option Button 170">
              <controlPr defaultSize="0" autoFill="0" autoLine="0" autoPict="0">
                <anchor moveWithCells="1">
                  <from>
                    <xdr:col>10</xdr:col>
                    <xdr:colOff>47625</xdr:colOff>
                    <xdr:row>184</xdr:row>
                    <xdr:rowOff>0</xdr:rowOff>
                  </from>
                  <to>
                    <xdr:col>10</xdr:col>
                    <xdr:colOff>466725</xdr:colOff>
                    <xdr:row>184</xdr:row>
                    <xdr:rowOff>219075</xdr:rowOff>
                  </to>
                </anchor>
              </controlPr>
            </control>
          </mc:Choice>
        </mc:AlternateContent>
        <mc:AlternateContent xmlns:mc="http://schemas.openxmlformats.org/markup-compatibility/2006">
          <mc:Choice Requires="x14">
            <control shapeId="1197" r:id="rId74" name="Button 173">
              <controlPr defaultSize="0" print="0" autoFill="0" autoPict="0" macro="[0]!Efface_Saisie">
                <anchor moveWithCells="1" sizeWithCells="1">
                  <from>
                    <xdr:col>3</xdr:col>
                    <xdr:colOff>542925</xdr:colOff>
                    <xdr:row>0</xdr:row>
                    <xdr:rowOff>0</xdr:rowOff>
                  </from>
                  <to>
                    <xdr:col>11</xdr:col>
                    <xdr:colOff>180975</xdr:colOff>
                    <xdr:row>1</xdr:row>
                    <xdr:rowOff>0</xdr:rowOff>
                  </to>
                </anchor>
              </controlPr>
            </control>
          </mc:Choice>
        </mc:AlternateContent>
        <mc:AlternateContent xmlns:mc="http://schemas.openxmlformats.org/markup-compatibility/2006">
          <mc:Choice Requires="x14">
            <control shapeId="1204" r:id="rId75" name="Group Box 180">
              <controlPr defaultSize="0" autoFill="0" autoPict="0">
                <anchor moveWithCells="1">
                  <from>
                    <xdr:col>2</xdr:col>
                    <xdr:colOff>1466850</xdr:colOff>
                    <xdr:row>162</xdr:row>
                    <xdr:rowOff>28575</xdr:rowOff>
                  </from>
                  <to>
                    <xdr:col>6</xdr:col>
                    <xdr:colOff>514350</xdr:colOff>
                    <xdr:row>166</xdr:row>
                    <xdr:rowOff>66675</xdr:rowOff>
                  </to>
                </anchor>
              </controlPr>
            </control>
          </mc:Choice>
        </mc:AlternateContent>
        <mc:AlternateContent xmlns:mc="http://schemas.openxmlformats.org/markup-compatibility/2006">
          <mc:Choice Requires="x14">
            <control shapeId="1205" r:id="rId76" name="Option Button 181">
              <controlPr defaultSize="0" autoFill="0" autoLine="0" autoPict="0">
                <anchor moveWithCells="1">
                  <from>
                    <xdr:col>6</xdr:col>
                    <xdr:colOff>38100</xdr:colOff>
                    <xdr:row>163</xdr:row>
                    <xdr:rowOff>9525</xdr:rowOff>
                  </from>
                  <to>
                    <xdr:col>6</xdr:col>
                    <xdr:colOff>381000</xdr:colOff>
                    <xdr:row>163</xdr:row>
                    <xdr:rowOff>228600</xdr:rowOff>
                  </to>
                </anchor>
              </controlPr>
            </control>
          </mc:Choice>
        </mc:AlternateContent>
        <mc:AlternateContent xmlns:mc="http://schemas.openxmlformats.org/markup-compatibility/2006">
          <mc:Choice Requires="x14">
            <control shapeId="1206" r:id="rId77" name="Option Button 182">
              <controlPr defaultSize="0" autoFill="0" autoLine="0" autoPict="0">
                <anchor moveWithCells="1">
                  <from>
                    <xdr:col>6</xdr:col>
                    <xdr:colOff>38100</xdr:colOff>
                    <xdr:row>164</xdr:row>
                    <xdr:rowOff>9525</xdr:rowOff>
                  </from>
                  <to>
                    <xdr:col>6</xdr:col>
                    <xdr:colOff>400050</xdr:colOff>
                    <xdr:row>164</xdr:row>
                    <xdr:rowOff>228600</xdr:rowOff>
                  </to>
                </anchor>
              </controlPr>
            </control>
          </mc:Choice>
        </mc:AlternateContent>
        <mc:AlternateContent xmlns:mc="http://schemas.openxmlformats.org/markup-compatibility/2006">
          <mc:Choice Requires="x14">
            <control shapeId="1207" r:id="rId78" name="Option Button 183">
              <controlPr defaultSize="0" autoFill="0" autoLine="0" autoPict="0">
                <anchor moveWithCells="1">
                  <from>
                    <xdr:col>6</xdr:col>
                    <xdr:colOff>38100</xdr:colOff>
                    <xdr:row>165</xdr:row>
                    <xdr:rowOff>9525</xdr:rowOff>
                  </from>
                  <to>
                    <xdr:col>6</xdr:col>
                    <xdr:colOff>419100</xdr:colOff>
                    <xdr:row>165</xdr:row>
                    <xdr:rowOff>228600</xdr:rowOff>
                  </to>
                </anchor>
              </controlPr>
            </control>
          </mc:Choice>
        </mc:AlternateContent>
        <mc:AlternateContent xmlns:mc="http://schemas.openxmlformats.org/markup-compatibility/2006">
          <mc:Choice Requires="x14">
            <control shapeId="1209" r:id="rId79" name="Option Button 185">
              <controlPr defaultSize="0" autoFill="0" autoLine="0" autoPict="0">
                <anchor moveWithCells="1">
                  <from>
                    <xdr:col>7</xdr:col>
                    <xdr:colOff>38100</xdr:colOff>
                    <xdr:row>163</xdr:row>
                    <xdr:rowOff>9525</xdr:rowOff>
                  </from>
                  <to>
                    <xdr:col>7</xdr:col>
                    <xdr:colOff>419100</xdr:colOff>
                    <xdr:row>163</xdr:row>
                    <xdr:rowOff>228600</xdr:rowOff>
                  </to>
                </anchor>
              </controlPr>
            </control>
          </mc:Choice>
        </mc:AlternateContent>
        <mc:AlternateContent xmlns:mc="http://schemas.openxmlformats.org/markup-compatibility/2006">
          <mc:Choice Requires="x14">
            <control shapeId="1210" r:id="rId80" name="Option Button 186">
              <controlPr defaultSize="0" autoFill="0" autoLine="0" autoPict="0">
                <anchor moveWithCells="1">
                  <from>
                    <xdr:col>7</xdr:col>
                    <xdr:colOff>38100</xdr:colOff>
                    <xdr:row>164</xdr:row>
                    <xdr:rowOff>9525</xdr:rowOff>
                  </from>
                  <to>
                    <xdr:col>7</xdr:col>
                    <xdr:colOff>428625</xdr:colOff>
                    <xdr:row>164</xdr:row>
                    <xdr:rowOff>228600</xdr:rowOff>
                  </to>
                </anchor>
              </controlPr>
            </control>
          </mc:Choice>
        </mc:AlternateContent>
        <mc:AlternateContent xmlns:mc="http://schemas.openxmlformats.org/markup-compatibility/2006">
          <mc:Choice Requires="x14">
            <control shapeId="1211" r:id="rId81" name="Option Button 187">
              <controlPr defaultSize="0" autoFill="0" autoLine="0" autoPict="0">
                <anchor moveWithCells="1">
                  <from>
                    <xdr:col>7</xdr:col>
                    <xdr:colOff>38100</xdr:colOff>
                    <xdr:row>165</xdr:row>
                    <xdr:rowOff>9525</xdr:rowOff>
                  </from>
                  <to>
                    <xdr:col>7</xdr:col>
                    <xdr:colOff>390525</xdr:colOff>
                    <xdr:row>165</xdr:row>
                    <xdr:rowOff>228600</xdr:rowOff>
                  </to>
                </anchor>
              </controlPr>
            </control>
          </mc:Choice>
        </mc:AlternateContent>
        <mc:AlternateContent xmlns:mc="http://schemas.openxmlformats.org/markup-compatibility/2006">
          <mc:Choice Requires="x14">
            <control shapeId="1213" r:id="rId82" name="Group Box 189">
              <controlPr defaultSize="0" autoFill="0" autoPict="0">
                <anchor moveWithCells="1">
                  <from>
                    <xdr:col>6</xdr:col>
                    <xdr:colOff>0</xdr:colOff>
                    <xdr:row>169</xdr:row>
                    <xdr:rowOff>19050</xdr:rowOff>
                  </from>
                  <to>
                    <xdr:col>7</xdr:col>
                    <xdr:colOff>0</xdr:colOff>
                    <xdr:row>173</xdr:row>
                    <xdr:rowOff>76200</xdr:rowOff>
                  </to>
                </anchor>
              </controlPr>
            </control>
          </mc:Choice>
        </mc:AlternateContent>
        <mc:AlternateContent xmlns:mc="http://schemas.openxmlformats.org/markup-compatibility/2006">
          <mc:Choice Requires="x14">
            <control shapeId="1215" r:id="rId83" name="Option Button 191">
              <controlPr defaultSize="0" autoFill="0" autoLine="0" autoPict="0">
                <anchor moveWithCells="1">
                  <from>
                    <xdr:col>6</xdr:col>
                    <xdr:colOff>38100</xdr:colOff>
                    <xdr:row>170</xdr:row>
                    <xdr:rowOff>9525</xdr:rowOff>
                  </from>
                  <to>
                    <xdr:col>6</xdr:col>
                    <xdr:colOff>428625</xdr:colOff>
                    <xdr:row>170</xdr:row>
                    <xdr:rowOff>228600</xdr:rowOff>
                  </to>
                </anchor>
              </controlPr>
            </control>
          </mc:Choice>
        </mc:AlternateContent>
        <mc:AlternateContent xmlns:mc="http://schemas.openxmlformats.org/markup-compatibility/2006">
          <mc:Choice Requires="x14">
            <control shapeId="1216" r:id="rId84" name="Option Button 192">
              <controlPr defaultSize="0" autoFill="0" autoLine="0" autoPict="0">
                <anchor moveWithCells="1">
                  <from>
                    <xdr:col>6</xdr:col>
                    <xdr:colOff>38100</xdr:colOff>
                    <xdr:row>171</xdr:row>
                    <xdr:rowOff>9525</xdr:rowOff>
                  </from>
                  <to>
                    <xdr:col>6</xdr:col>
                    <xdr:colOff>438150</xdr:colOff>
                    <xdr:row>171</xdr:row>
                    <xdr:rowOff>228600</xdr:rowOff>
                  </to>
                </anchor>
              </controlPr>
            </control>
          </mc:Choice>
        </mc:AlternateContent>
        <mc:AlternateContent xmlns:mc="http://schemas.openxmlformats.org/markup-compatibility/2006">
          <mc:Choice Requires="x14">
            <control shapeId="1217" r:id="rId85" name="Option Button 193">
              <controlPr defaultSize="0" autoFill="0" autoLine="0" autoPict="0">
                <anchor moveWithCells="1">
                  <from>
                    <xdr:col>6</xdr:col>
                    <xdr:colOff>38100</xdr:colOff>
                    <xdr:row>172</xdr:row>
                    <xdr:rowOff>9525</xdr:rowOff>
                  </from>
                  <to>
                    <xdr:col>6</xdr:col>
                    <xdr:colOff>409575</xdr:colOff>
                    <xdr:row>172</xdr:row>
                    <xdr:rowOff>228600</xdr:rowOff>
                  </to>
                </anchor>
              </controlPr>
            </control>
          </mc:Choice>
        </mc:AlternateContent>
        <mc:AlternateContent xmlns:mc="http://schemas.openxmlformats.org/markup-compatibility/2006">
          <mc:Choice Requires="x14">
            <control shapeId="1218" r:id="rId86" name="Option Button 194">
              <controlPr defaultSize="0" autoFill="0" autoLine="0" autoPict="0">
                <anchor moveWithCells="1">
                  <from>
                    <xdr:col>5</xdr:col>
                    <xdr:colOff>57150</xdr:colOff>
                    <xdr:row>172</xdr:row>
                    <xdr:rowOff>9525</xdr:rowOff>
                  </from>
                  <to>
                    <xdr:col>5</xdr:col>
                    <xdr:colOff>428625</xdr:colOff>
                    <xdr:row>172</xdr:row>
                    <xdr:rowOff>228600</xdr:rowOff>
                  </to>
                </anchor>
              </controlPr>
            </control>
          </mc:Choice>
        </mc:AlternateContent>
        <mc:AlternateContent xmlns:mc="http://schemas.openxmlformats.org/markup-compatibility/2006">
          <mc:Choice Requires="x14">
            <control shapeId="1219" r:id="rId87" name="Group Box 195">
              <controlPr defaultSize="0" autoFill="0" autoPict="0">
                <anchor moveWithCells="1">
                  <from>
                    <xdr:col>2</xdr:col>
                    <xdr:colOff>1114425</xdr:colOff>
                    <xdr:row>169</xdr:row>
                    <xdr:rowOff>28575</xdr:rowOff>
                  </from>
                  <to>
                    <xdr:col>5</xdr:col>
                    <xdr:colOff>523875</xdr:colOff>
                    <xdr:row>173</xdr:row>
                    <xdr:rowOff>76200</xdr:rowOff>
                  </to>
                </anchor>
              </controlPr>
            </control>
          </mc:Choice>
        </mc:AlternateContent>
        <mc:AlternateContent xmlns:mc="http://schemas.openxmlformats.org/markup-compatibility/2006">
          <mc:Choice Requires="x14">
            <control shapeId="1229" r:id="rId88" name="Option Button 205">
              <controlPr defaultSize="0" autoFill="0" autoLine="0" autoPict="0">
                <anchor moveWithCells="1">
                  <from>
                    <xdr:col>11</xdr:col>
                    <xdr:colOff>38100</xdr:colOff>
                    <xdr:row>162</xdr:row>
                    <xdr:rowOff>9525</xdr:rowOff>
                  </from>
                  <to>
                    <xdr:col>11</xdr:col>
                    <xdr:colOff>552450</xdr:colOff>
                    <xdr:row>162</xdr:row>
                    <xdr:rowOff>228600</xdr:rowOff>
                  </to>
                </anchor>
              </controlPr>
            </control>
          </mc:Choice>
        </mc:AlternateContent>
        <mc:AlternateContent xmlns:mc="http://schemas.openxmlformats.org/markup-compatibility/2006">
          <mc:Choice Requires="x14">
            <control shapeId="1230" r:id="rId89" name="Option Button 206">
              <controlPr defaultSize="0" autoFill="0" autoLine="0" autoPict="0">
                <anchor moveWithCells="1">
                  <from>
                    <xdr:col>11</xdr:col>
                    <xdr:colOff>38100</xdr:colOff>
                    <xdr:row>163</xdr:row>
                    <xdr:rowOff>9525</xdr:rowOff>
                  </from>
                  <to>
                    <xdr:col>11</xdr:col>
                    <xdr:colOff>552450</xdr:colOff>
                    <xdr:row>163</xdr:row>
                    <xdr:rowOff>228600</xdr:rowOff>
                  </to>
                </anchor>
              </controlPr>
            </control>
          </mc:Choice>
        </mc:AlternateContent>
        <mc:AlternateContent xmlns:mc="http://schemas.openxmlformats.org/markup-compatibility/2006">
          <mc:Choice Requires="x14">
            <control shapeId="1231" r:id="rId90" name="Group Box 207">
              <controlPr defaultSize="0" autoFill="0" autoPict="0">
                <anchor moveWithCells="1">
                  <from>
                    <xdr:col>9</xdr:col>
                    <xdr:colOff>0</xdr:colOff>
                    <xdr:row>159</xdr:row>
                    <xdr:rowOff>0</xdr:rowOff>
                  </from>
                  <to>
                    <xdr:col>12</xdr:col>
                    <xdr:colOff>104775</xdr:colOff>
                    <xdr:row>164</xdr:row>
                    <xdr:rowOff>95250</xdr:rowOff>
                  </to>
                </anchor>
              </controlPr>
            </control>
          </mc:Choice>
        </mc:AlternateContent>
        <mc:AlternateContent xmlns:mc="http://schemas.openxmlformats.org/markup-compatibility/2006">
          <mc:Choice Requires="x14">
            <control shapeId="1236" r:id="rId91" name="Option Button 212">
              <controlPr defaultSize="0" autoFill="0" autoLine="0" autoPict="0">
                <anchor moveWithCells="1">
                  <from>
                    <xdr:col>3</xdr:col>
                    <xdr:colOff>47625</xdr:colOff>
                    <xdr:row>284</xdr:row>
                    <xdr:rowOff>9525</xdr:rowOff>
                  </from>
                  <to>
                    <xdr:col>4</xdr:col>
                    <xdr:colOff>428625</xdr:colOff>
                    <xdr:row>284</xdr:row>
                    <xdr:rowOff>228600</xdr:rowOff>
                  </to>
                </anchor>
              </controlPr>
            </control>
          </mc:Choice>
        </mc:AlternateContent>
        <mc:AlternateContent xmlns:mc="http://schemas.openxmlformats.org/markup-compatibility/2006">
          <mc:Choice Requires="x14">
            <control shapeId="1237" r:id="rId92" name="Option Button 213">
              <controlPr defaultSize="0" autoFill="0" autoLine="0" autoPict="0">
                <anchor moveWithCells="1">
                  <from>
                    <xdr:col>5</xdr:col>
                    <xdr:colOff>47625</xdr:colOff>
                    <xdr:row>284</xdr:row>
                    <xdr:rowOff>9525</xdr:rowOff>
                  </from>
                  <to>
                    <xdr:col>7</xdr:col>
                    <xdr:colOff>323850</xdr:colOff>
                    <xdr:row>284</xdr:row>
                    <xdr:rowOff>228600</xdr:rowOff>
                  </to>
                </anchor>
              </controlPr>
            </control>
          </mc:Choice>
        </mc:AlternateContent>
        <mc:AlternateContent xmlns:mc="http://schemas.openxmlformats.org/markup-compatibility/2006">
          <mc:Choice Requires="x14">
            <control shapeId="1238" r:id="rId93" name="Group Box 214">
              <controlPr defaultSize="0" autoFill="0" autoPict="0">
                <anchor moveWithCells="1">
                  <from>
                    <xdr:col>3</xdr:col>
                    <xdr:colOff>47625</xdr:colOff>
                    <xdr:row>284</xdr:row>
                    <xdr:rowOff>0</xdr:rowOff>
                  </from>
                  <to>
                    <xdr:col>7</xdr:col>
                    <xdr:colOff>561975</xdr:colOff>
                    <xdr:row>285</xdr:row>
                    <xdr:rowOff>9525</xdr:rowOff>
                  </to>
                </anchor>
              </controlPr>
            </control>
          </mc:Choice>
        </mc:AlternateContent>
        <mc:AlternateContent xmlns:mc="http://schemas.openxmlformats.org/markup-compatibility/2006">
          <mc:Choice Requires="x14">
            <control shapeId="1246" r:id="rId94" name="Group Box 222">
              <controlPr defaultSize="0" autoFill="0" autoPict="0">
                <anchor moveWithCells="1">
                  <from>
                    <xdr:col>3</xdr:col>
                    <xdr:colOff>0</xdr:colOff>
                    <xdr:row>223</xdr:row>
                    <xdr:rowOff>0</xdr:rowOff>
                  </from>
                  <to>
                    <xdr:col>7</xdr:col>
                    <xdr:colOff>228600</xdr:colOff>
                    <xdr:row>224</xdr:row>
                    <xdr:rowOff>9525</xdr:rowOff>
                  </to>
                </anchor>
              </controlPr>
            </control>
          </mc:Choice>
        </mc:AlternateContent>
        <mc:AlternateContent xmlns:mc="http://schemas.openxmlformats.org/markup-compatibility/2006">
          <mc:Choice Requires="x14">
            <control shapeId="1247" r:id="rId95" name="Option Button 223">
              <controlPr defaultSize="0" autoFill="0" autoLine="0" autoPict="0">
                <anchor moveWithCells="1">
                  <from>
                    <xdr:col>3</xdr:col>
                    <xdr:colOff>47625</xdr:colOff>
                    <xdr:row>223</xdr:row>
                    <xdr:rowOff>9525</xdr:rowOff>
                  </from>
                  <to>
                    <xdr:col>4</xdr:col>
                    <xdr:colOff>104775</xdr:colOff>
                    <xdr:row>223</xdr:row>
                    <xdr:rowOff>228600</xdr:rowOff>
                  </to>
                </anchor>
              </controlPr>
            </control>
          </mc:Choice>
        </mc:AlternateContent>
        <mc:AlternateContent xmlns:mc="http://schemas.openxmlformats.org/markup-compatibility/2006">
          <mc:Choice Requires="x14">
            <control shapeId="1248" r:id="rId96" name="Option Button 224">
              <controlPr defaultSize="0" autoFill="0" autoLine="0" autoPict="0">
                <anchor moveWithCells="1">
                  <from>
                    <xdr:col>4</xdr:col>
                    <xdr:colOff>228600</xdr:colOff>
                    <xdr:row>223</xdr:row>
                    <xdr:rowOff>9525</xdr:rowOff>
                  </from>
                  <to>
                    <xdr:col>5</xdr:col>
                    <xdr:colOff>333375</xdr:colOff>
                    <xdr:row>223</xdr:row>
                    <xdr:rowOff>228600</xdr:rowOff>
                  </to>
                </anchor>
              </controlPr>
            </control>
          </mc:Choice>
        </mc:AlternateContent>
        <mc:AlternateContent xmlns:mc="http://schemas.openxmlformats.org/markup-compatibility/2006">
          <mc:Choice Requires="x14">
            <control shapeId="1249" r:id="rId97" name="Option Button 225">
              <controlPr defaultSize="0" autoFill="0" autoLine="0" autoPict="0">
                <anchor moveWithCells="1">
                  <from>
                    <xdr:col>5</xdr:col>
                    <xdr:colOff>409575</xdr:colOff>
                    <xdr:row>223</xdr:row>
                    <xdr:rowOff>9525</xdr:rowOff>
                  </from>
                  <to>
                    <xdr:col>6</xdr:col>
                    <xdr:colOff>514350</xdr:colOff>
                    <xdr:row>223</xdr:row>
                    <xdr:rowOff>228600</xdr:rowOff>
                  </to>
                </anchor>
              </controlPr>
            </control>
          </mc:Choice>
        </mc:AlternateContent>
        <mc:AlternateContent xmlns:mc="http://schemas.openxmlformats.org/markup-compatibility/2006">
          <mc:Choice Requires="x14">
            <control shapeId="1431" r:id="rId98" name="Group Box 407">
              <controlPr defaultSize="0" autoFill="0" autoPict="0">
                <anchor moveWithCells="1">
                  <from>
                    <xdr:col>8</xdr:col>
                    <xdr:colOff>457200</xdr:colOff>
                    <xdr:row>174</xdr:row>
                    <xdr:rowOff>228600</xdr:rowOff>
                  </from>
                  <to>
                    <xdr:col>11</xdr:col>
                    <xdr:colOff>190500</xdr:colOff>
                    <xdr:row>176</xdr:row>
                    <xdr:rowOff>0</xdr:rowOff>
                  </to>
                </anchor>
              </controlPr>
            </control>
          </mc:Choice>
        </mc:AlternateContent>
        <mc:AlternateContent xmlns:mc="http://schemas.openxmlformats.org/markup-compatibility/2006">
          <mc:Choice Requires="x14">
            <control shapeId="1435" r:id="rId99" name="Group Box 411">
              <controlPr defaultSize="0" autoFill="0" autoPict="0" altText="">
                <anchor moveWithCells="1">
                  <from>
                    <xdr:col>9</xdr:col>
                    <xdr:colOff>0</xdr:colOff>
                    <xdr:row>183</xdr:row>
                    <xdr:rowOff>0</xdr:rowOff>
                  </from>
                  <to>
                    <xdr:col>11</xdr:col>
                    <xdr:colOff>209550</xdr:colOff>
                    <xdr:row>184</xdr:row>
                    <xdr:rowOff>9525</xdr:rowOff>
                  </to>
                </anchor>
              </controlPr>
            </control>
          </mc:Choice>
        </mc:AlternateContent>
        <mc:AlternateContent xmlns:mc="http://schemas.openxmlformats.org/markup-compatibility/2006">
          <mc:Choice Requires="x14">
            <control shapeId="1522" r:id="rId100" name="Button 498">
              <controlPr defaultSize="0" print="0" autoFill="0" autoPict="0" macro="[0]!Retour_Presentation">
                <anchor moveWithCells="1" sizeWithCells="1">
                  <from>
                    <xdr:col>12</xdr:col>
                    <xdr:colOff>342900</xdr:colOff>
                    <xdr:row>0</xdr:row>
                    <xdr:rowOff>0</xdr:rowOff>
                  </from>
                  <to>
                    <xdr:col>14</xdr:col>
                    <xdr:colOff>266700</xdr:colOff>
                    <xdr:row>2</xdr:row>
                    <xdr:rowOff>85725</xdr:rowOff>
                  </to>
                </anchor>
              </controlPr>
            </control>
          </mc:Choice>
        </mc:AlternateContent>
        <mc:AlternateContent xmlns:mc="http://schemas.openxmlformats.org/markup-compatibility/2006">
          <mc:Choice Requires="x14">
            <control shapeId="1527" r:id="rId101" name="Option Button 503">
              <controlPr defaultSize="0" autoFill="0" autoLine="0" autoPict="0">
                <anchor moveWithCells="1">
                  <from>
                    <xdr:col>3</xdr:col>
                    <xdr:colOff>9525</xdr:colOff>
                    <xdr:row>211</xdr:row>
                    <xdr:rowOff>0</xdr:rowOff>
                  </from>
                  <to>
                    <xdr:col>3</xdr:col>
                    <xdr:colOff>571500</xdr:colOff>
                    <xdr:row>211</xdr:row>
                    <xdr:rowOff>219075</xdr:rowOff>
                  </to>
                </anchor>
              </controlPr>
            </control>
          </mc:Choice>
        </mc:AlternateContent>
        <mc:AlternateContent xmlns:mc="http://schemas.openxmlformats.org/markup-compatibility/2006">
          <mc:Choice Requires="x14">
            <control shapeId="1528" r:id="rId102" name="Option Button 504">
              <controlPr defaultSize="0" autoFill="0" autoLine="0" autoPict="0">
                <anchor moveWithCells="1">
                  <from>
                    <xdr:col>3</xdr:col>
                    <xdr:colOff>476250</xdr:colOff>
                    <xdr:row>211</xdr:row>
                    <xdr:rowOff>0</xdr:rowOff>
                  </from>
                  <to>
                    <xdr:col>4</xdr:col>
                    <xdr:colOff>314325</xdr:colOff>
                    <xdr:row>211</xdr:row>
                    <xdr:rowOff>219075</xdr:rowOff>
                  </to>
                </anchor>
              </controlPr>
            </control>
          </mc:Choice>
        </mc:AlternateContent>
        <mc:AlternateContent xmlns:mc="http://schemas.openxmlformats.org/markup-compatibility/2006">
          <mc:Choice Requires="x14">
            <control shapeId="1529" r:id="rId103" name="Group Box 505">
              <controlPr defaultSize="0" autoFill="0" autoPict="0" altText="">
                <anchor moveWithCells="1">
                  <from>
                    <xdr:col>3</xdr:col>
                    <xdr:colOff>0</xdr:colOff>
                    <xdr:row>210</xdr:row>
                    <xdr:rowOff>238125</xdr:rowOff>
                  </from>
                  <to>
                    <xdr:col>4</xdr:col>
                    <xdr:colOff>447675</xdr:colOff>
                    <xdr:row>212</xdr:row>
                    <xdr:rowOff>0</xdr:rowOff>
                  </to>
                </anchor>
              </controlPr>
            </control>
          </mc:Choice>
        </mc:AlternateContent>
        <mc:AlternateContent xmlns:mc="http://schemas.openxmlformats.org/markup-compatibility/2006">
          <mc:Choice Requires="x14">
            <control shapeId="1530" r:id="rId104" name="Option Button 506">
              <controlPr defaultSize="0" autoFill="0" autoLine="0" autoPict="0">
                <anchor moveWithCells="1">
                  <from>
                    <xdr:col>3</xdr:col>
                    <xdr:colOff>9525</xdr:colOff>
                    <xdr:row>208</xdr:row>
                    <xdr:rowOff>0</xdr:rowOff>
                  </from>
                  <to>
                    <xdr:col>3</xdr:col>
                    <xdr:colOff>571500</xdr:colOff>
                    <xdr:row>208</xdr:row>
                    <xdr:rowOff>219075</xdr:rowOff>
                  </to>
                </anchor>
              </controlPr>
            </control>
          </mc:Choice>
        </mc:AlternateContent>
        <mc:AlternateContent xmlns:mc="http://schemas.openxmlformats.org/markup-compatibility/2006">
          <mc:Choice Requires="x14">
            <control shapeId="1531" r:id="rId105" name="Option Button 507">
              <controlPr defaultSize="0" autoFill="0" autoLine="0" autoPict="0">
                <anchor moveWithCells="1">
                  <from>
                    <xdr:col>3</xdr:col>
                    <xdr:colOff>476250</xdr:colOff>
                    <xdr:row>208</xdr:row>
                    <xdr:rowOff>0</xdr:rowOff>
                  </from>
                  <to>
                    <xdr:col>4</xdr:col>
                    <xdr:colOff>314325</xdr:colOff>
                    <xdr:row>208</xdr:row>
                    <xdr:rowOff>219075</xdr:rowOff>
                  </to>
                </anchor>
              </controlPr>
            </control>
          </mc:Choice>
        </mc:AlternateContent>
        <mc:AlternateContent xmlns:mc="http://schemas.openxmlformats.org/markup-compatibility/2006">
          <mc:Choice Requires="x14">
            <control shapeId="1532" r:id="rId106" name="Group Box 508">
              <controlPr defaultSize="0" autoFill="0" autoPict="0" altText="">
                <anchor moveWithCells="1">
                  <from>
                    <xdr:col>3</xdr:col>
                    <xdr:colOff>0</xdr:colOff>
                    <xdr:row>207</xdr:row>
                    <xdr:rowOff>238125</xdr:rowOff>
                  </from>
                  <to>
                    <xdr:col>4</xdr:col>
                    <xdr:colOff>447675</xdr:colOff>
                    <xdr:row>209</xdr:row>
                    <xdr:rowOff>0</xdr:rowOff>
                  </to>
                </anchor>
              </controlPr>
            </control>
          </mc:Choice>
        </mc:AlternateContent>
        <mc:AlternateContent xmlns:mc="http://schemas.openxmlformats.org/markup-compatibility/2006">
          <mc:Choice Requires="x14">
            <control shapeId="1538" r:id="rId107" name="Group Box 514">
              <controlPr defaultSize="0" autoFill="0" autoPict="0">
                <anchor moveWithCells="1">
                  <from>
                    <xdr:col>5</xdr:col>
                    <xdr:colOff>0</xdr:colOff>
                    <xdr:row>220</xdr:row>
                    <xdr:rowOff>0</xdr:rowOff>
                  </from>
                  <to>
                    <xdr:col>7</xdr:col>
                    <xdr:colOff>219075</xdr:colOff>
                    <xdr:row>221</xdr:row>
                    <xdr:rowOff>9525</xdr:rowOff>
                  </to>
                </anchor>
              </controlPr>
            </control>
          </mc:Choice>
        </mc:AlternateContent>
        <mc:AlternateContent xmlns:mc="http://schemas.openxmlformats.org/markup-compatibility/2006">
          <mc:Choice Requires="x14">
            <control shapeId="1539" r:id="rId108" name="Option Button 515">
              <controlPr defaultSize="0" autoFill="0" autoLine="0" autoPict="0">
                <anchor moveWithCells="1">
                  <from>
                    <xdr:col>5</xdr:col>
                    <xdr:colOff>47625</xdr:colOff>
                    <xdr:row>220</xdr:row>
                    <xdr:rowOff>9525</xdr:rowOff>
                  </from>
                  <to>
                    <xdr:col>5</xdr:col>
                    <xdr:colOff>561975</xdr:colOff>
                    <xdr:row>220</xdr:row>
                    <xdr:rowOff>228600</xdr:rowOff>
                  </to>
                </anchor>
              </controlPr>
            </control>
          </mc:Choice>
        </mc:AlternateContent>
        <mc:AlternateContent xmlns:mc="http://schemas.openxmlformats.org/markup-compatibility/2006">
          <mc:Choice Requires="x14">
            <control shapeId="1540" r:id="rId109" name="Option Button 516">
              <controlPr defaultSize="0" autoFill="0" autoLine="0" autoPict="0">
                <anchor moveWithCells="1">
                  <from>
                    <xdr:col>6</xdr:col>
                    <xdr:colOff>47625</xdr:colOff>
                    <xdr:row>220</xdr:row>
                    <xdr:rowOff>9525</xdr:rowOff>
                  </from>
                  <to>
                    <xdr:col>6</xdr:col>
                    <xdr:colOff>561975</xdr:colOff>
                    <xdr:row>220</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pageSetUpPr fitToPage="1"/>
  </sheetPr>
  <dimension ref="A1:AQ157"/>
  <sheetViews>
    <sheetView workbookViewId="0"/>
  </sheetViews>
  <sheetFormatPr baseColWidth="10" defaultColWidth="11.42578125" defaultRowHeight="12.75" x14ac:dyDescent="0.2"/>
  <cols>
    <col min="1" max="1" width="18.85546875" style="32" customWidth="1"/>
    <col min="2" max="2" width="4.5703125" style="32" customWidth="1"/>
    <col min="3" max="3" width="5.28515625" style="32" customWidth="1"/>
    <col min="4" max="4" width="10.28515625" style="32" customWidth="1"/>
    <col min="5" max="5" width="6.140625" style="32" customWidth="1"/>
    <col min="6" max="6" width="10" style="32" customWidth="1"/>
    <col min="7" max="7" width="5" style="32" customWidth="1"/>
    <col min="8" max="8" width="6.140625" style="32" customWidth="1"/>
    <col min="9" max="9" width="10" style="32" customWidth="1"/>
    <col min="10" max="10" width="5" style="32" customWidth="1"/>
    <col min="11" max="11" width="6.140625" style="32" customWidth="1"/>
    <col min="12" max="12" width="10" style="32" customWidth="1"/>
    <col min="13" max="13" width="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6.140625" style="32" customWidth="1"/>
    <col min="24" max="24" width="10" style="32" customWidth="1"/>
    <col min="25" max="25" width="5" style="32" customWidth="1"/>
    <col min="26" max="26" width="6.140625" style="32" customWidth="1"/>
    <col min="27" max="27" width="10" style="32" customWidth="1"/>
    <col min="28" max="28" width="5" style="32" customWidth="1"/>
    <col min="29" max="29" width="6.140625" style="32" customWidth="1"/>
    <col min="30" max="30" width="10" style="32" customWidth="1"/>
    <col min="31" max="31" width="5.5703125" style="32" customWidth="1"/>
    <col min="32" max="32" width="6.140625" style="32" customWidth="1"/>
    <col min="33" max="34" width="11.42578125" style="32"/>
    <col min="35" max="35" width="42.28515625" style="32" customWidth="1"/>
    <col min="36" max="41" width="7" style="32" customWidth="1"/>
    <col min="42" max="16384" width="11.42578125" style="32"/>
  </cols>
  <sheetData>
    <row r="1" spans="1:41" ht="13.5" thickTop="1" x14ac:dyDescent="0.2">
      <c r="E1" s="42"/>
      <c r="F1" s="43"/>
      <c r="G1" s="43"/>
      <c r="H1" s="43"/>
      <c r="I1" s="43"/>
      <c r="J1" s="43"/>
      <c r="K1" s="43"/>
      <c r="L1" s="43"/>
      <c r="M1" s="43"/>
      <c r="N1" s="43"/>
      <c r="O1" s="43"/>
      <c r="P1" s="43"/>
      <c r="Q1" s="43"/>
      <c r="R1" s="43"/>
      <c r="S1" s="43"/>
      <c r="T1" s="43"/>
      <c r="U1" s="43"/>
      <c r="V1" s="43"/>
      <c r="W1" s="44"/>
    </row>
    <row r="2" spans="1:41" x14ac:dyDescent="0.2">
      <c r="E2" s="45"/>
      <c r="F2" s="46"/>
      <c r="G2" s="46"/>
      <c r="H2" s="46"/>
      <c r="I2" s="46"/>
      <c r="J2" s="46"/>
      <c r="K2" s="46"/>
      <c r="L2" s="46"/>
      <c r="M2" s="46"/>
      <c r="N2" s="46"/>
      <c r="O2" s="46"/>
      <c r="P2" s="46"/>
      <c r="Q2" s="46"/>
      <c r="R2" s="46"/>
      <c r="S2" s="46"/>
      <c r="T2" s="46"/>
      <c r="U2" s="47"/>
      <c r="V2" s="48" t="s">
        <v>117</v>
      </c>
      <c r="W2" s="49"/>
    </row>
    <row r="3" spans="1:41" x14ac:dyDescent="0.2">
      <c r="E3" s="45"/>
      <c r="F3" s="46"/>
      <c r="G3" s="46"/>
      <c r="H3" s="46"/>
      <c r="I3" s="46"/>
      <c r="J3" s="46"/>
      <c r="K3" s="46"/>
      <c r="L3" s="46"/>
      <c r="M3" s="46"/>
      <c r="N3" s="3429" t="s">
        <v>450</v>
      </c>
      <c r="O3" s="3430"/>
      <c r="P3" s="3430"/>
      <c r="Q3" s="3429" t="s">
        <v>451</v>
      </c>
      <c r="R3" s="3430"/>
      <c r="S3" s="3431"/>
      <c r="T3" s="3430" t="s">
        <v>755</v>
      </c>
      <c r="U3" s="3430"/>
      <c r="V3" s="3431"/>
      <c r="W3" s="49"/>
    </row>
    <row r="4" spans="1:41" x14ac:dyDescent="0.2">
      <c r="E4" s="45"/>
      <c r="F4" s="46"/>
      <c r="G4" s="46"/>
      <c r="H4" s="46"/>
      <c r="I4" s="46"/>
      <c r="J4" s="46"/>
      <c r="K4" s="46"/>
      <c r="L4" s="50" t="s">
        <v>353</v>
      </c>
      <c r="M4" s="50" t="s">
        <v>381</v>
      </c>
      <c r="N4" s="35" t="s">
        <v>249</v>
      </c>
      <c r="O4" s="36" t="s">
        <v>247</v>
      </c>
      <c r="P4" s="36"/>
      <c r="Q4" s="35" t="s">
        <v>249</v>
      </c>
      <c r="R4" s="36" t="s">
        <v>247</v>
      </c>
      <c r="S4" s="37"/>
      <c r="T4" s="36" t="s">
        <v>249</v>
      </c>
      <c r="U4" s="36" t="s">
        <v>247</v>
      </c>
      <c r="V4" s="37"/>
      <c r="W4" s="49"/>
      <c r="AJ4" s="3447" t="s">
        <v>1562</v>
      </c>
      <c r="AK4" s="3448"/>
      <c r="AL4" s="3449"/>
      <c r="AM4" s="3448" t="s">
        <v>1563</v>
      </c>
      <c r="AN4" s="3448"/>
      <c r="AO4" s="3448"/>
    </row>
    <row r="5" spans="1:41" ht="13.5" thickBot="1" x14ac:dyDescent="0.25">
      <c r="E5" s="45"/>
      <c r="F5" s="46"/>
      <c r="G5" s="46"/>
      <c r="H5" s="46"/>
      <c r="I5" s="46"/>
      <c r="J5" s="46"/>
      <c r="K5" s="46"/>
      <c r="L5" s="51" t="s">
        <v>354</v>
      </c>
      <c r="M5" s="51" t="s">
        <v>382</v>
      </c>
      <c r="N5" s="35" t="s">
        <v>248</v>
      </c>
      <c r="O5" s="36" t="s">
        <v>246</v>
      </c>
      <c r="P5" s="36" t="s">
        <v>244</v>
      </c>
      <c r="Q5" s="35" t="s">
        <v>248</v>
      </c>
      <c r="R5" s="36" t="s">
        <v>246</v>
      </c>
      <c r="S5" s="37" t="s">
        <v>244</v>
      </c>
      <c r="T5" s="36" t="s">
        <v>248</v>
      </c>
      <c r="U5" s="36" t="s">
        <v>246</v>
      </c>
      <c r="V5" s="37" t="s">
        <v>244</v>
      </c>
      <c r="W5" s="49"/>
      <c r="AI5" s="240"/>
      <c r="AJ5" s="1752" t="s">
        <v>186</v>
      </c>
      <c r="AK5" s="1749" t="s">
        <v>187</v>
      </c>
      <c r="AL5" s="1756" t="s">
        <v>790</v>
      </c>
      <c r="AM5" s="1749" t="s">
        <v>186</v>
      </c>
      <c r="AN5" s="1749" t="s">
        <v>187</v>
      </c>
      <c r="AO5" s="1749" t="s">
        <v>790</v>
      </c>
    </row>
    <row r="6" spans="1:41" ht="13.5" thickTop="1" x14ac:dyDescent="0.2">
      <c r="E6" s="45"/>
      <c r="F6" s="80" t="s">
        <v>380</v>
      </c>
      <c r="G6" s="53"/>
      <c r="H6" s="53"/>
      <c r="I6" s="53"/>
      <c r="J6" s="53"/>
      <c r="K6" s="54"/>
      <c r="L6" s="55">
        <v>1</v>
      </c>
      <c r="M6" s="56"/>
      <c r="N6" s="57">
        <f>N123*$E123-N154*$E154+$E155*N155+N129*$E129</f>
        <v>87</v>
      </c>
      <c r="O6" s="57">
        <f t="shared" ref="O6:U6" si="0">O123*$E123-O154*$E154+$E155*O155+O129*$E129</f>
        <v>110</v>
      </c>
      <c r="P6" s="58">
        <f>P123*$E123-P154*$E154+$E155*P155+P129*$E129</f>
        <v>197</v>
      </c>
      <c r="Q6" s="59">
        <f t="shared" si="0"/>
        <v>4.5</v>
      </c>
      <c r="R6" s="57">
        <f t="shared" si="0"/>
        <v>38.5</v>
      </c>
      <c r="S6" s="60">
        <f t="shared" si="0"/>
        <v>43</v>
      </c>
      <c r="T6" s="59">
        <f t="shared" si="0"/>
        <v>12</v>
      </c>
      <c r="U6" s="57">
        <f t="shared" si="0"/>
        <v>286</v>
      </c>
      <c r="V6" s="60">
        <f>V123*$E123-V154*$E154+$E155*V155+V129*$E129</f>
        <v>298</v>
      </c>
      <c r="W6" s="49"/>
      <c r="AI6" s="1748" t="str">
        <f>F6&amp;" An"&amp;L6&amp;" "&amp;M6</f>
        <v xml:space="preserve">Mâles An1 </v>
      </c>
      <c r="AJ6" s="1753">
        <f t="shared" ref="AJ6:AJ11" si="1">$P129*$E129</f>
        <v>0</v>
      </c>
      <c r="AK6" s="1754">
        <f t="shared" ref="AK6:AK11" si="2">$S129*$E129</f>
        <v>0</v>
      </c>
      <c r="AL6" s="1757">
        <f t="shared" ref="AL6:AL11" si="3">$V129*$E129</f>
        <v>0</v>
      </c>
      <c r="AM6" s="1748">
        <f>$P123*$E123-$P154*$E154+$E155*$P155</f>
        <v>197</v>
      </c>
      <c r="AN6" s="1748">
        <f>$S123*$E123-$S154*$E154+$E155*$S155</f>
        <v>43</v>
      </c>
      <c r="AO6" s="1748">
        <f>$V123*$E123-$V154*$E154+$E155*$V155</f>
        <v>298</v>
      </c>
    </row>
    <row r="7" spans="1:41" x14ac:dyDescent="0.2">
      <c r="E7" s="45"/>
      <c r="F7" s="61"/>
      <c r="G7" s="46"/>
      <c r="H7" s="46"/>
      <c r="I7" s="46"/>
      <c r="J7" s="46"/>
      <c r="K7" s="62"/>
      <c r="L7" s="34">
        <v>2</v>
      </c>
      <c r="M7" s="63"/>
      <c r="N7" s="64">
        <f>N124*$E124+N130*$E130</f>
        <v>0</v>
      </c>
      <c r="O7" s="65">
        <f t="shared" ref="O7:U7" si="4">O124*$E124+O130*$E130</f>
        <v>0</v>
      </c>
      <c r="P7" s="66">
        <f t="shared" si="4"/>
        <v>0</v>
      </c>
      <c r="Q7" s="64">
        <f t="shared" si="4"/>
        <v>0</v>
      </c>
      <c r="R7" s="65">
        <f t="shared" si="4"/>
        <v>0</v>
      </c>
      <c r="S7" s="67">
        <f t="shared" si="4"/>
        <v>0</v>
      </c>
      <c r="T7" s="64">
        <f t="shared" si="4"/>
        <v>0</v>
      </c>
      <c r="U7" s="65">
        <f t="shared" si="4"/>
        <v>0</v>
      </c>
      <c r="V7" s="67">
        <f>V124*$E124+V130*$E130</f>
        <v>0</v>
      </c>
      <c r="W7" s="49"/>
      <c r="AI7" s="1748" t="str">
        <f t="shared" ref="AI7:AI25" si="5">F7&amp;" An"&amp;L7&amp;" "&amp;M7</f>
        <v xml:space="preserve"> An2 </v>
      </c>
      <c r="AJ7" s="1753">
        <f t="shared" si="1"/>
        <v>0</v>
      </c>
      <c r="AK7" s="1754">
        <f t="shared" si="2"/>
        <v>0</v>
      </c>
      <c r="AL7" s="1757">
        <f t="shared" si="3"/>
        <v>0</v>
      </c>
      <c r="AM7" s="1748">
        <f>$P124*$E124</f>
        <v>0</v>
      </c>
      <c r="AN7" s="1748">
        <f>$S124*$E124</f>
        <v>0</v>
      </c>
      <c r="AO7" s="1748">
        <f>$V124*$E124</f>
        <v>0</v>
      </c>
    </row>
    <row r="8" spans="1:41" x14ac:dyDescent="0.2">
      <c r="E8" s="45"/>
      <c r="F8" s="61"/>
      <c r="G8" s="46"/>
      <c r="H8" s="46"/>
      <c r="I8" s="46"/>
      <c r="J8" s="46"/>
      <c r="K8" s="62"/>
      <c r="L8" s="68">
        <v>3</v>
      </c>
      <c r="M8" s="51">
        <v>28</v>
      </c>
      <c r="N8" s="69">
        <f>N125*$E125+N131*$E131</f>
        <v>0</v>
      </c>
      <c r="O8" s="69">
        <f t="shared" ref="O8:V8" si="6">O125*$E125+O131*$E131</f>
        <v>0</v>
      </c>
      <c r="P8" s="69">
        <f t="shared" si="6"/>
        <v>0</v>
      </c>
      <c r="Q8" s="70">
        <f t="shared" si="6"/>
        <v>0</v>
      </c>
      <c r="R8" s="69">
        <f t="shared" si="6"/>
        <v>0</v>
      </c>
      <c r="S8" s="71">
        <f t="shared" si="6"/>
        <v>0</v>
      </c>
      <c r="T8" s="70">
        <f t="shared" si="6"/>
        <v>0</v>
      </c>
      <c r="U8" s="69">
        <f t="shared" si="6"/>
        <v>0</v>
      </c>
      <c r="V8" s="71">
        <f t="shared" si="6"/>
        <v>0</v>
      </c>
      <c r="W8" s="49"/>
      <c r="AI8" s="1748" t="str">
        <f t="shared" si="5"/>
        <v xml:space="preserve"> An3 28</v>
      </c>
      <c r="AJ8" s="1753">
        <f t="shared" si="1"/>
        <v>0</v>
      </c>
      <c r="AK8" s="1754">
        <f t="shared" si="2"/>
        <v>0</v>
      </c>
      <c r="AL8" s="1757">
        <f t="shared" si="3"/>
        <v>0</v>
      </c>
      <c r="AM8" s="1748">
        <f>$P125*$E125</f>
        <v>0</v>
      </c>
      <c r="AN8" s="1748">
        <f>$S125*$E125</f>
        <v>0</v>
      </c>
      <c r="AO8" s="1748">
        <f>$V125*$E125</f>
        <v>0</v>
      </c>
    </row>
    <row r="9" spans="1:41" x14ac:dyDescent="0.2">
      <c r="E9" s="45"/>
      <c r="F9" s="61"/>
      <c r="G9" s="46"/>
      <c r="H9" s="46"/>
      <c r="I9" s="46"/>
      <c r="J9" s="46"/>
      <c r="K9" s="62"/>
      <c r="L9" s="68"/>
      <c r="M9" s="51">
        <v>30</v>
      </c>
      <c r="N9" s="69">
        <f>N126*$E126+N132*$E132</f>
        <v>0</v>
      </c>
      <c r="O9" s="69">
        <f t="shared" ref="O9:V9" si="7">O126*$E126+O132*$E132</f>
        <v>0</v>
      </c>
      <c r="P9" s="69">
        <f t="shared" si="7"/>
        <v>0</v>
      </c>
      <c r="Q9" s="70">
        <f t="shared" si="7"/>
        <v>0</v>
      </c>
      <c r="R9" s="69">
        <f t="shared" si="7"/>
        <v>0</v>
      </c>
      <c r="S9" s="71">
        <f t="shared" si="7"/>
        <v>0</v>
      </c>
      <c r="T9" s="70">
        <f t="shared" si="7"/>
        <v>0</v>
      </c>
      <c r="U9" s="69">
        <f t="shared" si="7"/>
        <v>0</v>
      </c>
      <c r="V9" s="71">
        <f t="shared" si="7"/>
        <v>0</v>
      </c>
      <c r="W9" s="49"/>
      <c r="AI9" s="1748" t="str">
        <f t="shared" si="5"/>
        <v xml:space="preserve"> An 30</v>
      </c>
      <c r="AJ9" s="1753">
        <f t="shared" si="1"/>
        <v>0</v>
      </c>
      <c r="AK9" s="1754">
        <f t="shared" si="2"/>
        <v>0</v>
      </c>
      <c r="AL9" s="1757">
        <f t="shared" si="3"/>
        <v>0</v>
      </c>
      <c r="AM9" s="1748">
        <f>$P126*$E126</f>
        <v>0</v>
      </c>
      <c r="AN9" s="1748">
        <f>$S126*$E126</f>
        <v>0</v>
      </c>
      <c r="AO9" s="1748">
        <f>$V126*$E126</f>
        <v>0</v>
      </c>
    </row>
    <row r="10" spans="1:41" x14ac:dyDescent="0.2">
      <c r="E10" s="45"/>
      <c r="F10" s="61"/>
      <c r="G10" s="46"/>
      <c r="H10" s="46"/>
      <c r="I10" s="46"/>
      <c r="J10" s="46"/>
      <c r="K10" s="62"/>
      <c r="L10" s="68"/>
      <c r="M10" s="51">
        <v>33</v>
      </c>
      <c r="N10" s="69">
        <f>N127*$E127+N133*$E133</f>
        <v>0</v>
      </c>
      <c r="O10" s="69">
        <f t="shared" ref="O10:V10" si="8">O127*$E127+O133*$E133</f>
        <v>0</v>
      </c>
      <c r="P10" s="69">
        <f t="shared" si="8"/>
        <v>0</v>
      </c>
      <c r="Q10" s="70">
        <f t="shared" si="8"/>
        <v>0</v>
      </c>
      <c r="R10" s="69">
        <f t="shared" si="8"/>
        <v>0</v>
      </c>
      <c r="S10" s="71">
        <f t="shared" si="8"/>
        <v>0</v>
      </c>
      <c r="T10" s="70">
        <f t="shared" si="8"/>
        <v>0</v>
      </c>
      <c r="U10" s="69">
        <f t="shared" si="8"/>
        <v>0</v>
      </c>
      <c r="V10" s="71">
        <f t="shared" si="8"/>
        <v>0</v>
      </c>
      <c r="W10" s="49"/>
      <c r="AI10" s="1748" t="str">
        <f t="shared" si="5"/>
        <v xml:space="preserve"> An 33</v>
      </c>
      <c r="AJ10" s="1753">
        <f t="shared" si="1"/>
        <v>0</v>
      </c>
      <c r="AK10" s="1754">
        <f t="shared" si="2"/>
        <v>0</v>
      </c>
      <c r="AL10" s="1757">
        <f t="shared" si="3"/>
        <v>0</v>
      </c>
      <c r="AM10" s="1748">
        <f>$P127*$E127</f>
        <v>0</v>
      </c>
      <c r="AN10" s="1748">
        <f>$S127*$E127</f>
        <v>0</v>
      </c>
      <c r="AO10" s="1748">
        <f>$V127*$E127</f>
        <v>0</v>
      </c>
    </row>
    <row r="11" spans="1:41" ht="13.5" thickBot="1" x14ac:dyDescent="0.25">
      <c r="E11" s="45"/>
      <c r="F11" s="72"/>
      <c r="G11" s="73"/>
      <c r="H11" s="73"/>
      <c r="I11" s="73"/>
      <c r="J11" s="73"/>
      <c r="K11" s="74"/>
      <c r="L11" s="75"/>
      <c r="M11" s="76">
        <v>36</v>
      </c>
      <c r="N11" s="77">
        <f>N128*$E128+N134*$E134</f>
        <v>0</v>
      </c>
      <c r="O11" s="77">
        <f t="shared" ref="O11:U11" si="9">O128*$E128+O134*$E134</f>
        <v>0</v>
      </c>
      <c r="P11" s="77">
        <f t="shared" si="9"/>
        <v>0</v>
      </c>
      <c r="Q11" s="78">
        <f t="shared" si="9"/>
        <v>0</v>
      </c>
      <c r="R11" s="77">
        <f t="shared" si="9"/>
        <v>0</v>
      </c>
      <c r="S11" s="79">
        <f t="shared" si="9"/>
        <v>0</v>
      </c>
      <c r="T11" s="78">
        <f t="shared" si="9"/>
        <v>0</v>
      </c>
      <c r="U11" s="77">
        <f t="shared" si="9"/>
        <v>0</v>
      </c>
      <c r="V11" s="79">
        <f>V128*$E128+V134*$E134</f>
        <v>0</v>
      </c>
      <c r="W11" s="49"/>
      <c r="AI11" s="1748" t="str">
        <f t="shared" si="5"/>
        <v xml:space="preserve"> An 36</v>
      </c>
      <c r="AJ11" s="1753">
        <f t="shared" si="1"/>
        <v>0</v>
      </c>
      <c r="AK11" s="1754">
        <f t="shared" si="2"/>
        <v>0</v>
      </c>
      <c r="AL11" s="1757">
        <f t="shared" si="3"/>
        <v>0</v>
      </c>
      <c r="AM11" s="1748">
        <f>$P128*$E128</f>
        <v>0</v>
      </c>
      <c r="AN11" s="1748">
        <f>$S128*$E128</f>
        <v>0</v>
      </c>
      <c r="AO11" s="1748">
        <f>$V128*$E128</f>
        <v>0</v>
      </c>
    </row>
    <row r="12" spans="1:41" ht="13.5" thickTop="1" x14ac:dyDescent="0.2">
      <c r="E12" s="45"/>
      <c r="F12" s="80" t="s">
        <v>351</v>
      </c>
      <c r="G12" s="53"/>
      <c r="H12" s="53"/>
      <c r="I12" s="53"/>
      <c r="J12" s="53"/>
      <c r="K12" s="53"/>
      <c r="L12" s="81">
        <v>2</v>
      </c>
      <c r="M12" s="82"/>
      <c r="N12" s="83">
        <f>N135*$E135+N139*$E139</f>
        <v>0</v>
      </c>
      <c r="O12" s="83">
        <f t="shared" ref="O12:U12" si="10">O135*$E135+O139*$E139</f>
        <v>0</v>
      </c>
      <c r="P12" s="83">
        <f t="shared" si="10"/>
        <v>0</v>
      </c>
      <c r="Q12" s="84">
        <f t="shared" si="10"/>
        <v>0</v>
      </c>
      <c r="R12" s="83">
        <f t="shared" si="10"/>
        <v>0</v>
      </c>
      <c r="S12" s="85">
        <f t="shared" si="10"/>
        <v>0</v>
      </c>
      <c r="T12" s="84">
        <f t="shared" si="10"/>
        <v>0</v>
      </c>
      <c r="U12" s="83">
        <f t="shared" si="10"/>
        <v>0</v>
      </c>
      <c r="V12" s="85">
        <f>V135*$E135+V139*$E139</f>
        <v>0</v>
      </c>
      <c r="W12" s="49"/>
      <c r="AI12" s="1748" t="str">
        <f t="shared" si="5"/>
        <v xml:space="preserve">Génisses An2 </v>
      </c>
      <c r="AJ12" s="1753">
        <f>$P139*$E139</f>
        <v>0</v>
      </c>
      <c r="AK12" s="1754">
        <f>$S139*$E139</f>
        <v>0</v>
      </c>
      <c r="AL12" s="1757">
        <f>$V139*$E139</f>
        <v>0</v>
      </c>
      <c r="AM12" s="1748">
        <f>$P135*$E135</f>
        <v>0</v>
      </c>
      <c r="AN12" s="1748">
        <f>$S135*$E135</f>
        <v>0</v>
      </c>
      <c r="AO12" s="1748">
        <f>$V135*$E135</f>
        <v>0</v>
      </c>
    </row>
    <row r="13" spans="1:41" x14ac:dyDescent="0.2">
      <c r="E13" s="45"/>
      <c r="F13" s="61"/>
      <c r="G13" s="46"/>
      <c r="H13" s="46"/>
      <c r="I13" s="46"/>
      <c r="J13" s="46"/>
      <c r="K13" s="46"/>
      <c r="L13" s="51">
        <v>3</v>
      </c>
      <c r="M13" s="51">
        <v>30</v>
      </c>
      <c r="N13" s="86">
        <f>N136*$E136+N140*$E140</f>
        <v>0</v>
      </c>
      <c r="O13" s="87">
        <f t="shared" ref="O13:V13" si="11">O136*$E136+O140*$E140</f>
        <v>0</v>
      </c>
      <c r="P13" s="87">
        <f t="shared" si="11"/>
        <v>0</v>
      </c>
      <c r="Q13" s="86">
        <f t="shared" si="11"/>
        <v>0</v>
      </c>
      <c r="R13" s="87">
        <f t="shared" si="11"/>
        <v>0</v>
      </c>
      <c r="S13" s="88">
        <f t="shared" si="11"/>
        <v>0</v>
      </c>
      <c r="T13" s="86">
        <f t="shared" si="11"/>
        <v>0</v>
      </c>
      <c r="U13" s="87">
        <f t="shared" si="11"/>
        <v>0</v>
      </c>
      <c r="V13" s="88">
        <f t="shared" si="11"/>
        <v>0</v>
      </c>
      <c r="W13" s="49"/>
      <c r="AI13" s="1748" t="str">
        <f t="shared" si="5"/>
        <v xml:space="preserve"> An3 30</v>
      </c>
      <c r="AJ13" s="1753">
        <f>$P140*$E140</f>
        <v>0</v>
      </c>
      <c r="AK13" s="1754">
        <f>$S140*$E140</f>
        <v>0</v>
      </c>
      <c r="AL13" s="1757">
        <f>$V140*$E140</f>
        <v>0</v>
      </c>
      <c r="AM13" s="1748">
        <f>$P136*$E136</f>
        <v>0</v>
      </c>
      <c r="AN13" s="1748">
        <f>$S136*$E136</f>
        <v>0</v>
      </c>
      <c r="AO13" s="1748">
        <f>$V136*$E136</f>
        <v>0</v>
      </c>
    </row>
    <row r="14" spans="1:41" x14ac:dyDescent="0.2">
      <c r="E14" s="45"/>
      <c r="F14" s="61"/>
      <c r="G14" s="46"/>
      <c r="H14" s="46"/>
      <c r="I14" s="46"/>
      <c r="J14" s="46"/>
      <c r="K14" s="46"/>
      <c r="L14" s="51"/>
      <c r="M14" s="51">
        <v>33</v>
      </c>
      <c r="N14" s="69">
        <f>N137*$E137+N141*$E141</f>
        <v>0</v>
      </c>
      <c r="O14" s="69">
        <f t="shared" ref="O14:V14" si="12">O137*$E137+O141*$E141</f>
        <v>0</v>
      </c>
      <c r="P14" s="69">
        <f t="shared" si="12"/>
        <v>0</v>
      </c>
      <c r="Q14" s="70">
        <f t="shared" si="12"/>
        <v>0</v>
      </c>
      <c r="R14" s="69">
        <f t="shared" si="12"/>
        <v>0</v>
      </c>
      <c r="S14" s="71">
        <f t="shared" si="12"/>
        <v>0</v>
      </c>
      <c r="T14" s="70">
        <f t="shared" si="12"/>
        <v>0</v>
      </c>
      <c r="U14" s="69">
        <f t="shared" si="12"/>
        <v>0</v>
      </c>
      <c r="V14" s="71">
        <f t="shared" si="12"/>
        <v>0</v>
      </c>
      <c r="W14" s="49"/>
      <c r="AI14" s="1748" t="str">
        <f t="shared" si="5"/>
        <v xml:space="preserve"> An 33</v>
      </c>
      <c r="AJ14" s="1753">
        <f>$P141*$E141</f>
        <v>0</v>
      </c>
      <c r="AK14" s="1754">
        <f>$S141*$E141</f>
        <v>0</v>
      </c>
      <c r="AL14" s="1757">
        <f>$V141*$E141</f>
        <v>0</v>
      </c>
      <c r="AM14" s="1748">
        <f>$P137*$E137</f>
        <v>0</v>
      </c>
      <c r="AN14" s="1748">
        <f>$S137*$E137</f>
        <v>0</v>
      </c>
      <c r="AO14" s="1748">
        <f>$V137*$E137</f>
        <v>0</v>
      </c>
    </row>
    <row r="15" spans="1:41" x14ac:dyDescent="0.2">
      <c r="E15" s="45"/>
      <c r="F15" s="61"/>
      <c r="G15" s="1596"/>
      <c r="H15" s="1596"/>
      <c r="I15" s="1596"/>
      <c r="J15" s="1596"/>
      <c r="K15" s="1596"/>
      <c r="L15" s="51"/>
      <c r="M15" s="51">
        <v>36</v>
      </c>
      <c r="N15" s="69">
        <f>N138*$E138+N142*$E142</f>
        <v>0</v>
      </c>
      <c r="O15" s="69">
        <f t="shared" ref="O15:U15" si="13">O138*$E138+O142*$E142</f>
        <v>0</v>
      </c>
      <c r="P15" s="69">
        <f t="shared" si="13"/>
        <v>0</v>
      </c>
      <c r="Q15" s="70">
        <f t="shared" si="13"/>
        <v>0</v>
      </c>
      <c r="R15" s="69">
        <f t="shared" si="13"/>
        <v>0</v>
      </c>
      <c r="S15" s="71">
        <f t="shared" si="13"/>
        <v>0</v>
      </c>
      <c r="T15" s="70">
        <f t="shared" si="13"/>
        <v>0</v>
      </c>
      <c r="U15" s="69">
        <f t="shared" si="13"/>
        <v>0</v>
      </c>
      <c r="V15" s="71">
        <f>V138*$E138+V142*$E142</f>
        <v>0</v>
      </c>
      <c r="W15" s="49"/>
      <c r="AI15" s="1748" t="str">
        <f t="shared" si="5"/>
        <v xml:space="preserve"> An 36</v>
      </c>
      <c r="AJ15" s="1753">
        <f>$P142*$E142</f>
        <v>0</v>
      </c>
      <c r="AK15" s="1754">
        <f>$S142*$E142</f>
        <v>0</v>
      </c>
      <c r="AL15" s="1757">
        <f>$V142*$E142</f>
        <v>0</v>
      </c>
      <c r="AM15" s="1748">
        <f>$P138*$E138</f>
        <v>0</v>
      </c>
      <c r="AN15" s="1748">
        <f>$S138*$E138</f>
        <v>0</v>
      </c>
      <c r="AO15" s="1748">
        <f>$V138*$E138</f>
        <v>0</v>
      </c>
    </row>
    <row r="16" spans="1:41" x14ac:dyDescent="0.2">
      <c r="A16" s="188"/>
      <c r="B16" s="188"/>
      <c r="C16" s="188"/>
      <c r="D16" s="188"/>
      <c r="E16" s="2816"/>
      <c r="F16" s="2852" t="s">
        <v>2356</v>
      </c>
      <c r="G16" s="184"/>
      <c r="H16" s="184"/>
      <c r="I16" s="184"/>
      <c r="J16" s="184"/>
      <c r="K16" s="184"/>
      <c r="L16" s="35"/>
      <c r="M16" s="37"/>
      <c r="N16" s="235">
        <f>N143*$E143</f>
        <v>0</v>
      </c>
      <c r="O16" s="235">
        <f t="shared" ref="O16:V16" si="14">O143*$E143</f>
        <v>0</v>
      </c>
      <c r="P16" s="235">
        <f t="shared" si="14"/>
        <v>0</v>
      </c>
      <c r="Q16" s="237">
        <f t="shared" si="14"/>
        <v>0</v>
      </c>
      <c r="R16" s="235">
        <f t="shared" si="14"/>
        <v>0</v>
      </c>
      <c r="S16" s="2895">
        <f t="shared" si="14"/>
        <v>0</v>
      </c>
      <c r="T16" s="237">
        <f t="shared" si="14"/>
        <v>0</v>
      </c>
      <c r="U16" s="235">
        <f t="shared" si="14"/>
        <v>0</v>
      </c>
      <c r="V16" s="2895">
        <f t="shared" si="14"/>
        <v>0</v>
      </c>
      <c r="W16" s="2896"/>
      <c r="X16" s="188"/>
      <c r="Y16" s="188"/>
      <c r="Z16" s="188"/>
      <c r="AA16" s="188"/>
      <c r="AB16" s="188"/>
      <c r="AC16" s="188"/>
      <c r="AD16" s="188"/>
      <c r="AE16" s="188"/>
      <c r="AF16" s="188"/>
      <c r="AG16" s="188"/>
      <c r="AH16" s="188"/>
      <c r="AI16" s="1748" t="str">
        <f>F16</f>
        <v>Génisses de renouvellement vendues type viande</v>
      </c>
      <c r="AJ16" s="1753"/>
      <c r="AK16" s="1754"/>
      <c r="AL16" s="1757"/>
      <c r="AM16" s="2891">
        <f>P16</f>
        <v>0</v>
      </c>
      <c r="AN16" s="2891">
        <f>S16</f>
        <v>0</v>
      </c>
      <c r="AO16" s="2891">
        <f>V16</f>
        <v>0</v>
      </c>
    </row>
    <row r="17" spans="1:42" ht="13.5" thickBot="1" x14ac:dyDescent="0.25">
      <c r="A17" s="188"/>
      <c r="B17" s="188"/>
      <c r="C17" s="188"/>
      <c r="D17" s="188"/>
      <c r="E17" s="2816"/>
      <c r="F17" s="2853" t="s">
        <v>2357</v>
      </c>
      <c r="G17" s="2845"/>
      <c r="H17" s="2845"/>
      <c r="I17" s="2845"/>
      <c r="J17" s="2845"/>
      <c r="K17" s="2845"/>
      <c r="L17" s="683"/>
      <c r="M17" s="684"/>
      <c r="N17" s="2897">
        <f t="shared" ref="N17:V17" si="15">N144*$E144</f>
        <v>0</v>
      </c>
      <c r="O17" s="2897">
        <f t="shared" si="15"/>
        <v>0</v>
      </c>
      <c r="P17" s="2897">
        <f t="shared" si="15"/>
        <v>0</v>
      </c>
      <c r="Q17" s="2898">
        <f t="shared" si="15"/>
        <v>0</v>
      </c>
      <c r="R17" s="2897">
        <f t="shared" si="15"/>
        <v>0</v>
      </c>
      <c r="S17" s="2899">
        <f t="shared" si="15"/>
        <v>0</v>
      </c>
      <c r="T17" s="2898">
        <f t="shared" si="15"/>
        <v>0</v>
      </c>
      <c r="U17" s="2897">
        <f t="shared" si="15"/>
        <v>0</v>
      </c>
      <c r="V17" s="2899">
        <f t="shared" si="15"/>
        <v>0</v>
      </c>
      <c r="W17" s="2896"/>
      <c r="X17" s="188"/>
      <c r="Y17" s="188"/>
      <c r="Z17" s="188"/>
      <c r="AA17" s="188"/>
      <c r="AB17" s="188"/>
      <c r="AC17" s="188"/>
      <c r="AD17" s="188"/>
      <c r="AE17" s="188"/>
      <c r="AF17" s="188"/>
      <c r="AG17" s="188"/>
      <c r="AH17" s="188"/>
      <c r="AI17" s="1748" t="str">
        <f>F17</f>
        <v>Génisses de renouvellement vendues type lait</v>
      </c>
      <c r="AJ17" s="2892">
        <f>P17</f>
        <v>0</v>
      </c>
      <c r="AK17" s="2893">
        <f>S17</f>
        <v>0</v>
      </c>
      <c r="AL17" s="2894">
        <f>V17</f>
        <v>0</v>
      </c>
      <c r="AM17" s="1748"/>
      <c r="AN17" s="1748"/>
      <c r="AO17" s="1748"/>
      <c r="AP17" s="188"/>
    </row>
    <row r="18" spans="1:42" ht="13.5" thickTop="1" x14ac:dyDescent="0.2">
      <c r="A18" s="188"/>
      <c r="B18" s="188"/>
      <c r="C18" s="188"/>
      <c r="D18" s="188"/>
      <c r="E18" s="2816"/>
      <c r="F18" s="2900" t="s">
        <v>502</v>
      </c>
      <c r="G18" s="184"/>
      <c r="H18" s="184"/>
      <c r="I18" s="184"/>
      <c r="J18" s="184"/>
      <c r="K18" s="184"/>
      <c r="L18" s="35">
        <v>1</v>
      </c>
      <c r="M18" s="366"/>
      <c r="N18" s="235">
        <f t="shared" ref="N18:V18" si="16">N145*$E145</f>
        <v>0</v>
      </c>
      <c r="O18" s="235">
        <f t="shared" si="16"/>
        <v>0</v>
      </c>
      <c r="P18" s="235">
        <f t="shared" si="16"/>
        <v>0</v>
      </c>
      <c r="Q18" s="237">
        <f t="shared" si="16"/>
        <v>0</v>
      </c>
      <c r="R18" s="235">
        <f t="shared" si="16"/>
        <v>0</v>
      </c>
      <c r="S18" s="2895">
        <f t="shared" si="16"/>
        <v>0</v>
      </c>
      <c r="T18" s="237">
        <f t="shared" si="16"/>
        <v>0</v>
      </c>
      <c r="U18" s="235">
        <f t="shared" si="16"/>
        <v>0</v>
      </c>
      <c r="V18" s="2895">
        <f t="shared" si="16"/>
        <v>0</v>
      </c>
      <c r="W18" s="2896"/>
      <c r="X18" s="188"/>
      <c r="Y18" s="188"/>
      <c r="Z18" s="188"/>
      <c r="AA18" s="188"/>
      <c r="AB18" s="188"/>
      <c r="AC18" s="188"/>
      <c r="AD18" s="188"/>
      <c r="AE18" s="188"/>
      <c r="AF18" s="188"/>
      <c r="AG18" s="188"/>
      <c r="AH18" s="188"/>
      <c r="AI18" s="1748" t="str">
        <f t="shared" si="5"/>
        <v xml:space="preserve">Taurillons race laitière An1 </v>
      </c>
      <c r="AJ18" s="1759">
        <f>P18</f>
        <v>0</v>
      </c>
      <c r="AK18" s="1765">
        <f>S18</f>
        <v>0</v>
      </c>
      <c r="AL18" s="1766">
        <f>V18</f>
        <v>0</v>
      </c>
      <c r="AM18" s="1762"/>
      <c r="AN18" s="1762"/>
      <c r="AO18" s="1762"/>
    </row>
    <row r="19" spans="1:42" ht="13.5" thickBot="1" x14ac:dyDescent="0.25">
      <c r="A19" s="188"/>
      <c r="B19" s="188"/>
      <c r="C19" s="188"/>
      <c r="D19" s="188"/>
      <c r="E19" s="2816"/>
      <c r="F19" s="2888"/>
      <c r="G19" s="2845"/>
      <c r="H19" s="2845"/>
      <c r="I19" s="2845"/>
      <c r="J19" s="2845"/>
      <c r="K19" s="2845"/>
      <c r="L19" s="2901">
        <v>2</v>
      </c>
      <c r="M19" s="2902"/>
      <c r="N19" s="2903">
        <f t="shared" ref="N19:U19" si="17">N146*$E146</f>
        <v>0</v>
      </c>
      <c r="O19" s="2903">
        <f t="shared" si="17"/>
        <v>0</v>
      </c>
      <c r="P19" s="2903">
        <f t="shared" si="17"/>
        <v>0</v>
      </c>
      <c r="Q19" s="2904">
        <f t="shared" si="17"/>
        <v>0</v>
      </c>
      <c r="R19" s="2903">
        <f t="shared" si="17"/>
        <v>0</v>
      </c>
      <c r="S19" s="2905">
        <f t="shared" si="17"/>
        <v>0</v>
      </c>
      <c r="T19" s="2904">
        <f t="shared" si="17"/>
        <v>0</v>
      </c>
      <c r="U19" s="2903">
        <f t="shared" si="17"/>
        <v>0</v>
      </c>
      <c r="V19" s="2905">
        <f>V146*$E146</f>
        <v>0</v>
      </c>
      <c r="W19" s="2896"/>
      <c r="X19" s="188"/>
      <c r="Y19" s="188"/>
      <c r="Z19" s="188"/>
      <c r="AA19" s="188"/>
      <c r="AB19" s="188"/>
      <c r="AC19" s="188"/>
      <c r="AD19" s="188"/>
      <c r="AE19" s="188"/>
      <c r="AF19" s="188"/>
      <c r="AG19" s="188"/>
      <c r="AH19" s="188"/>
      <c r="AI19" s="1748" t="str">
        <f t="shared" si="5"/>
        <v xml:space="preserve"> An2 </v>
      </c>
      <c r="AJ19" s="1759">
        <f>P19</f>
        <v>0</v>
      </c>
      <c r="AK19" s="1765">
        <f>S19</f>
        <v>0</v>
      </c>
      <c r="AL19" s="1766">
        <f>V19</f>
        <v>0</v>
      </c>
      <c r="AM19" s="1762"/>
      <c r="AN19" s="1762"/>
      <c r="AO19" s="1762"/>
    </row>
    <row r="20" spans="1:42" ht="14.25" thickTop="1" thickBot="1" x14ac:dyDescent="0.25">
      <c r="A20" s="188"/>
      <c r="B20" s="188"/>
      <c r="C20" s="188"/>
      <c r="D20" s="188"/>
      <c r="E20" s="2816"/>
      <c r="F20" s="2906" t="s">
        <v>503</v>
      </c>
      <c r="G20" s="2907"/>
      <c r="H20" s="2907"/>
      <c r="I20" s="2907"/>
      <c r="J20" s="2907"/>
      <c r="K20" s="2907"/>
      <c r="L20" s="2907" t="s">
        <v>383</v>
      </c>
      <c r="M20" s="2907"/>
      <c r="N20" s="2908">
        <f t="shared" ref="N20:V20" si="18">N147*$E147</f>
        <v>0</v>
      </c>
      <c r="O20" s="2909">
        <f t="shared" si="18"/>
        <v>0</v>
      </c>
      <c r="P20" s="2909">
        <f t="shared" si="18"/>
        <v>0</v>
      </c>
      <c r="Q20" s="2908">
        <f t="shared" si="18"/>
        <v>0</v>
      </c>
      <c r="R20" s="2909">
        <f t="shared" si="18"/>
        <v>0</v>
      </c>
      <c r="S20" s="2910">
        <f t="shared" si="18"/>
        <v>0</v>
      </c>
      <c r="T20" s="2908">
        <f t="shared" si="18"/>
        <v>0</v>
      </c>
      <c r="U20" s="2909">
        <f t="shared" si="18"/>
        <v>0</v>
      </c>
      <c r="V20" s="2910">
        <f t="shared" si="18"/>
        <v>0</v>
      </c>
      <c r="W20" s="2896"/>
      <c r="X20" s="188"/>
      <c r="Y20" s="188"/>
      <c r="Z20" s="188"/>
      <c r="AA20" s="188"/>
      <c r="AB20" s="188"/>
      <c r="AC20" s="188"/>
      <c r="AD20" s="188"/>
      <c r="AE20" s="188"/>
      <c r="AF20" s="188"/>
      <c r="AG20" s="188"/>
      <c r="AH20" s="188"/>
      <c r="AI20" s="1748" t="str">
        <f t="shared" si="5"/>
        <v xml:space="preserve">Taurillons race à viande An8-18 mois </v>
      </c>
      <c r="AJ20" s="1763"/>
      <c r="AK20" s="1760"/>
      <c r="AL20" s="1761"/>
      <c r="AM20" s="1764">
        <f>P20</f>
        <v>0</v>
      </c>
      <c r="AN20" s="1764">
        <f>S20</f>
        <v>0</v>
      </c>
      <c r="AO20" s="1764">
        <f>V20</f>
        <v>0</v>
      </c>
    </row>
    <row r="21" spans="1:42" ht="13.5" thickTop="1" x14ac:dyDescent="0.2">
      <c r="A21" s="188"/>
      <c r="B21" s="188"/>
      <c r="C21" s="188"/>
      <c r="D21" s="188"/>
      <c r="E21" s="2816"/>
      <c r="F21" s="2854" t="s">
        <v>2353</v>
      </c>
      <c r="G21" s="1077"/>
      <c r="H21" s="1077"/>
      <c r="I21" s="1077"/>
      <c r="J21" s="1077"/>
      <c r="K21" s="1077"/>
      <c r="L21" s="1077"/>
      <c r="M21" s="1077"/>
      <c r="N21" s="59">
        <f>N148*$E148</f>
        <v>0</v>
      </c>
      <c r="O21" s="57">
        <f t="shared" ref="O21:V21" si="19">O148*$E148</f>
        <v>0</v>
      </c>
      <c r="P21" s="57">
        <f t="shared" si="19"/>
        <v>0</v>
      </c>
      <c r="Q21" s="59">
        <f t="shared" si="19"/>
        <v>0</v>
      </c>
      <c r="R21" s="57">
        <f t="shared" si="19"/>
        <v>0</v>
      </c>
      <c r="S21" s="2911">
        <f t="shared" si="19"/>
        <v>0</v>
      </c>
      <c r="T21" s="59">
        <f t="shared" si="19"/>
        <v>0</v>
      </c>
      <c r="U21" s="57">
        <f t="shared" si="19"/>
        <v>0</v>
      </c>
      <c r="V21" s="2911">
        <f t="shared" si="19"/>
        <v>0</v>
      </c>
      <c r="W21" s="2896"/>
      <c r="X21" s="188"/>
      <c r="Y21" s="188"/>
      <c r="Z21" s="188"/>
      <c r="AA21" s="188"/>
      <c r="AB21" s="188"/>
      <c r="AC21" s="188"/>
      <c r="AD21" s="188"/>
      <c r="AE21" s="188"/>
      <c r="AF21" s="188"/>
      <c r="AG21" s="188"/>
      <c r="AH21" s="188"/>
      <c r="AI21" s="1748" t="str">
        <f t="shared" ref="AI21:AI22" si="20">F21</f>
        <v>Taureaux de réforme type viande</v>
      </c>
      <c r="AJ21" s="1763"/>
      <c r="AK21" s="1760"/>
      <c r="AL21" s="1761"/>
      <c r="AM21" s="1764">
        <f>P21</f>
        <v>0</v>
      </c>
      <c r="AN21" s="1764">
        <f>S21</f>
        <v>0</v>
      </c>
      <c r="AO21" s="1764">
        <f>V21</f>
        <v>0</v>
      </c>
    </row>
    <row r="22" spans="1:42" ht="13.5" thickBot="1" x14ac:dyDescent="0.25">
      <c r="A22" s="188"/>
      <c r="B22" s="188"/>
      <c r="C22" s="188"/>
      <c r="D22" s="188"/>
      <c r="E22" s="2816"/>
      <c r="F22" s="2853" t="s">
        <v>2354</v>
      </c>
      <c r="G22" s="2845"/>
      <c r="H22" s="2845"/>
      <c r="I22" s="2845"/>
      <c r="J22" s="2845"/>
      <c r="K22" s="2845"/>
      <c r="L22" s="2845"/>
      <c r="M22" s="2845"/>
      <c r="N22" s="2898">
        <f t="shared" ref="N22:V22" si="21">N149*$E149</f>
        <v>0</v>
      </c>
      <c r="O22" s="2897">
        <f t="shared" si="21"/>
        <v>0</v>
      </c>
      <c r="P22" s="2897">
        <f t="shared" si="21"/>
        <v>0</v>
      </c>
      <c r="Q22" s="2898">
        <f t="shared" si="21"/>
        <v>0</v>
      </c>
      <c r="R22" s="2897">
        <f t="shared" si="21"/>
        <v>0</v>
      </c>
      <c r="S22" s="2899">
        <f t="shared" si="21"/>
        <v>0</v>
      </c>
      <c r="T22" s="2898">
        <f t="shared" si="21"/>
        <v>0</v>
      </c>
      <c r="U22" s="2897">
        <f t="shared" si="21"/>
        <v>0</v>
      </c>
      <c r="V22" s="2899">
        <f t="shared" si="21"/>
        <v>0</v>
      </c>
      <c r="W22" s="2896"/>
      <c r="X22" s="188"/>
      <c r="Y22" s="188"/>
      <c r="Z22" s="188"/>
      <c r="AA22" s="188"/>
      <c r="AB22" s="188"/>
      <c r="AC22" s="188"/>
      <c r="AD22" s="188"/>
      <c r="AE22" s="188"/>
      <c r="AF22" s="188"/>
      <c r="AG22" s="188"/>
      <c r="AH22" s="188"/>
      <c r="AI22" s="1748" t="str">
        <f t="shared" si="20"/>
        <v>Taureaux de réforme type lait</v>
      </c>
      <c r="AJ22" s="1763">
        <f>P22</f>
        <v>0</v>
      </c>
      <c r="AK22" s="1760">
        <f>S22</f>
        <v>0</v>
      </c>
      <c r="AL22" s="1766">
        <f>V22</f>
        <v>0</v>
      </c>
      <c r="AM22" s="1764"/>
      <c r="AN22" s="1764"/>
      <c r="AO22" s="1764"/>
    </row>
    <row r="23" spans="1:42" ht="13.5" thickTop="1" x14ac:dyDescent="0.2">
      <c r="E23" s="45"/>
      <c r="F23" s="80" t="s">
        <v>390</v>
      </c>
      <c r="G23" s="53"/>
      <c r="H23" s="53"/>
      <c r="I23" s="53"/>
      <c r="J23" s="53"/>
      <c r="K23" s="53"/>
      <c r="L23" s="53"/>
      <c r="M23" s="53"/>
      <c r="N23" s="84"/>
      <c r="O23" s="83"/>
      <c r="P23" s="83"/>
      <c r="Q23" s="84"/>
      <c r="R23" s="83"/>
      <c r="S23" s="85"/>
      <c r="T23" s="84"/>
      <c r="U23" s="83"/>
      <c r="V23" s="85"/>
      <c r="W23" s="49"/>
      <c r="AI23" s="1748" t="str">
        <f t="shared" si="5"/>
        <v xml:space="preserve">Vaches réforme (tous formats) An </v>
      </c>
      <c r="AJ23" s="1763"/>
      <c r="AK23" s="1760"/>
      <c r="AL23" s="1761"/>
      <c r="AM23" s="1762"/>
      <c r="AN23" s="1762"/>
      <c r="AO23" s="1762"/>
    </row>
    <row r="24" spans="1:42" x14ac:dyDescent="0.2">
      <c r="E24" s="45"/>
      <c r="F24" s="1641" t="s">
        <v>1683</v>
      </c>
      <c r="G24" s="46"/>
      <c r="H24" s="46"/>
      <c r="I24" s="46"/>
      <c r="J24" s="46"/>
      <c r="K24" s="95"/>
      <c r="L24" s="46"/>
      <c r="M24" s="46"/>
      <c r="N24" s="70">
        <f t="shared" ref="N24:V24" si="22">N151*$E151</f>
        <v>0</v>
      </c>
      <c r="O24" s="69">
        <f t="shared" si="22"/>
        <v>135</v>
      </c>
      <c r="P24" s="69">
        <f t="shared" si="22"/>
        <v>135</v>
      </c>
      <c r="Q24" s="70">
        <f t="shared" si="22"/>
        <v>0</v>
      </c>
      <c r="R24" s="69">
        <f t="shared" si="22"/>
        <v>49.95</v>
      </c>
      <c r="S24" s="71">
        <f t="shared" si="22"/>
        <v>49.95</v>
      </c>
      <c r="T24" s="70">
        <f t="shared" si="22"/>
        <v>0</v>
      </c>
      <c r="U24" s="69">
        <f t="shared" si="22"/>
        <v>139.5</v>
      </c>
      <c r="V24" s="71">
        <f t="shared" si="22"/>
        <v>139.5</v>
      </c>
      <c r="W24" s="49"/>
      <c r="AI24" s="1748" t="str">
        <f t="shared" si="5"/>
        <v xml:space="preserve">● type viande An </v>
      </c>
      <c r="AJ24" s="1763"/>
      <c r="AK24" s="1760"/>
      <c r="AL24" s="1761"/>
      <c r="AM24" s="1764">
        <f>P24</f>
        <v>135</v>
      </c>
      <c r="AN24" s="1764">
        <f>S24</f>
        <v>49.95</v>
      </c>
      <c r="AO24" s="1764">
        <f>V24</f>
        <v>139.5</v>
      </c>
    </row>
    <row r="25" spans="1:42" ht="13.5" thickBot="1" x14ac:dyDescent="0.25">
      <c r="E25" s="45"/>
      <c r="F25" s="1921" t="s">
        <v>1684</v>
      </c>
      <c r="G25" s="97"/>
      <c r="H25" s="97"/>
      <c r="I25" s="97"/>
      <c r="J25" s="97"/>
      <c r="K25" s="98"/>
      <c r="L25" s="97"/>
      <c r="M25" s="97"/>
      <c r="N25" s="99">
        <f t="shared" ref="N25:V25" si="23">N152*$E152</f>
        <v>126</v>
      </c>
      <c r="O25" s="100">
        <f t="shared" si="23"/>
        <v>378</v>
      </c>
      <c r="P25" s="100">
        <f t="shared" si="23"/>
        <v>504</v>
      </c>
      <c r="Q25" s="99">
        <f t="shared" si="23"/>
        <v>45.5</v>
      </c>
      <c r="R25" s="100">
        <f t="shared" si="23"/>
        <v>136.5</v>
      </c>
      <c r="S25" s="101">
        <f t="shared" si="23"/>
        <v>182</v>
      </c>
      <c r="T25" s="99">
        <f t="shared" si="23"/>
        <v>168</v>
      </c>
      <c r="U25" s="100">
        <f t="shared" si="23"/>
        <v>504</v>
      </c>
      <c r="V25" s="101">
        <f t="shared" si="23"/>
        <v>672</v>
      </c>
      <c r="W25" s="49"/>
      <c r="AI25" s="1748" t="str">
        <f t="shared" si="5"/>
        <v xml:space="preserve">● type lait An </v>
      </c>
      <c r="AJ25" s="1759">
        <f>P25</f>
        <v>504</v>
      </c>
      <c r="AK25" s="1765">
        <f>S25</f>
        <v>182</v>
      </c>
      <c r="AL25" s="1766">
        <f>V25</f>
        <v>672</v>
      </c>
      <c r="AM25" s="1762"/>
      <c r="AN25" s="1762"/>
      <c r="AO25" s="1762"/>
    </row>
    <row r="26" spans="1:42" ht="14.25" thickTop="1" thickBot="1" x14ac:dyDescent="0.25">
      <c r="E26" s="45"/>
      <c r="F26" s="89"/>
      <c r="G26" s="90"/>
      <c r="H26" s="90"/>
      <c r="I26" s="90"/>
      <c r="J26" s="90"/>
      <c r="K26" s="90"/>
      <c r="L26" s="90"/>
      <c r="M26" s="90" t="s">
        <v>407</v>
      </c>
      <c r="N26" s="91">
        <f t="shared" ref="N26:V26" si="24">SUM(N6:N25)</f>
        <v>213</v>
      </c>
      <c r="O26" s="92">
        <f t="shared" si="24"/>
        <v>623</v>
      </c>
      <c r="P26" s="92">
        <f t="shared" si="24"/>
        <v>836</v>
      </c>
      <c r="Q26" s="91">
        <f t="shared" si="24"/>
        <v>50</v>
      </c>
      <c r="R26" s="92">
        <f t="shared" si="24"/>
        <v>224.95</v>
      </c>
      <c r="S26" s="93">
        <f t="shared" si="24"/>
        <v>274.95</v>
      </c>
      <c r="T26" s="91">
        <f t="shared" si="24"/>
        <v>180</v>
      </c>
      <c r="U26" s="92">
        <f t="shared" si="24"/>
        <v>929.5</v>
      </c>
      <c r="V26" s="93">
        <f t="shared" si="24"/>
        <v>1109.5</v>
      </c>
      <c r="W26" s="49"/>
      <c r="AI26" s="1750" t="s">
        <v>244</v>
      </c>
      <c r="AJ26" s="1755">
        <f t="shared" ref="AJ26:AO26" si="25">SUM(AJ6:AJ25)</f>
        <v>504</v>
      </c>
      <c r="AK26" s="1751">
        <f t="shared" si="25"/>
        <v>182</v>
      </c>
      <c r="AL26" s="1758">
        <f t="shared" si="25"/>
        <v>672</v>
      </c>
      <c r="AM26" s="1751">
        <f t="shared" si="25"/>
        <v>332</v>
      </c>
      <c r="AN26" s="1751">
        <f t="shared" si="25"/>
        <v>92.95</v>
      </c>
      <c r="AO26" s="1751">
        <f t="shared" si="25"/>
        <v>437.5</v>
      </c>
    </row>
    <row r="27" spans="1:42" ht="14.25" thickTop="1" thickBot="1" x14ac:dyDescent="0.25">
      <c r="E27" s="102"/>
      <c r="F27" s="103"/>
      <c r="G27" s="103"/>
      <c r="H27" s="103"/>
      <c r="I27" s="103"/>
      <c r="J27" s="103"/>
      <c r="K27" s="103"/>
      <c r="L27" s="103"/>
      <c r="M27" s="103"/>
      <c r="N27" s="103"/>
      <c r="O27" s="103"/>
      <c r="P27" s="103"/>
      <c r="Q27" s="103"/>
      <c r="R27" s="103"/>
      <c r="S27" s="103"/>
      <c r="T27" s="103"/>
      <c r="U27" s="103"/>
      <c r="V27" s="103"/>
      <c r="W27" s="104"/>
    </row>
    <row r="28" spans="1:42" ht="13.5" thickTop="1" x14ac:dyDescent="0.2"/>
    <row r="29" spans="1:42" x14ac:dyDescent="0.2">
      <c r="A29" s="14" t="s">
        <v>118</v>
      </c>
    </row>
    <row r="30" spans="1:42" ht="3" customHeight="1" thickBot="1" x14ac:dyDescent="0.25"/>
    <row r="31" spans="1:42" ht="13.5" thickTop="1" x14ac:dyDescent="0.2">
      <c r="E31" s="3435" t="s">
        <v>346</v>
      </c>
      <c r="F31" s="3436"/>
      <c r="G31" s="3436"/>
      <c r="H31" s="3436"/>
      <c r="I31" s="3436"/>
      <c r="J31" s="3436"/>
      <c r="K31" s="3436"/>
      <c r="L31" s="3436"/>
      <c r="M31" s="3437"/>
      <c r="N31" s="3435" t="s">
        <v>347</v>
      </c>
      <c r="O31" s="3436"/>
      <c r="P31" s="3436"/>
      <c r="Q31" s="3436"/>
      <c r="R31" s="3436"/>
      <c r="S31" s="3436"/>
      <c r="T31" s="3436"/>
      <c r="U31" s="3436"/>
      <c r="V31" s="3437"/>
      <c r="W31" s="3435" t="s">
        <v>348</v>
      </c>
      <c r="X31" s="3436"/>
      <c r="Y31" s="3436"/>
      <c r="Z31" s="3436"/>
      <c r="AA31" s="3436"/>
      <c r="AB31" s="3436"/>
      <c r="AC31" s="3436"/>
      <c r="AD31" s="3436"/>
      <c r="AE31" s="3437"/>
    </row>
    <row r="32" spans="1:42" x14ac:dyDescent="0.2">
      <c r="E32" s="3441" t="s">
        <v>256</v>
      </c>
      <c r="F32" s="3430"/>
      <c r="G32" s="3430"/>
      <c r="H32" s="3429" t="s">
        <v>257</v>
      </c>
      <c r="I32" s="3430"/>
      <c r="J32" s="3431"/>
      <c r="K32" s="3430" t="s">
        <v>756</v>
      </c>
      <c r="L32" s="3430"/>
      <c r="M32" s="3434"/>
      <c r="N32" s="3441" t="s">
        <v>256</v>
      </c>
      <c r="O32" s="3430"/>
      <c r="P32" s="3430"/>
      <c r="Q32" s="3429" t="s">
        <v>257</v>
      </c>
      <c r="R32" s="3430"/>
      <c r="S32" s="3431"/>
      <c r="T32" s="3430" t="s">
        <v>756</v>
      </c>
      <c r="U32" s="3430"/>
      <c r="V32" s="3434"/>
      <c r="W32" s="3441" t="s">
        <v>256</v>
      </c>
      <c r="X32" s="3430"/>
      <c r="Y32" s="3430"/>
      <c r="Z32" s="3429" t="s">
        <v>257</v>
      </c>
      <c r="AA32" s="3430"/>
      <c r="AB32" s="3431"/>
      <c r="AC32" s="3430" t="s">
        <v>756</v>
      </c>
      <c r="AD32" s="3430"/>
      <c r="AE32" s="3434"/>
    </row>
    <row r="33" spans="1:31" x14ac:dyDescent="0.2">
      <c r="A33" s="68"/>
      <c r="B33" s="50" t="s">
        <v>353</v>
      </c>
      <c r="C33" s="50" t="s">
        <v>381</v>
      </c>
      <c r="D33" s="107" t="s">
        <v>384</v>
      </c>
      <c r="E33" s="108" t="s">
        <v>249</v>
      </c>
      <c r="F33" s="36" t="s">
        <v>247</v>
      </c>
      <c r="G33" s="36"/>
      <c r="H33" s="35" t="s">
        <v>249</v>
      </c>
      <c r="I33" s="36" t="s">
        <v>247</v>
      </c>
      <c r="J33" s="37"/>
      <c r="K33" s="36" t="s">
        <v>249</v>
      </c>
      <c r="L33" s="36" t="s">
        <v>247</v>
      </c>
      <c r="M33" s="109"/>
      <c r="N33" s="110" t="s">
        <v>249</v>
      </c>
      <c r="O33" s="36" t="s">
        <v>247</v>
      </c>
      <c r="P33" s="36"/>
      <c r="Q33" s="35" t="s">
        <v>249</v>
      </c>
      <c r="R33" s="36" t="s">
        <v>247</v>
      </c>
      <c r="S33" s="37"/>
      <c r="T33" s="36" t="s">
        <v>249</v>
      </c>
      <c r="U33" s="36" t="s">
        <v>247</v>
      </c>
      <c r="V33" s="109"/>
      <c r="W33" s="110" t="s">
        <v>249</v>
      </c>
      <c r="X33" s="36" t="s">
        <v>247</v>
      </c>
      <c r="Y33" s="36"/>
      <c r="Z33" s="35" t="s">
        <v>249</v>
      </c>
      <c r="AA33" s="36" t="s">
        <v>247</v>
      </c>
      <c r="AB33" s="37"/>
      <c r="AC33" s="36" t="s">
        <v>249</v>
      </c>
      <c r="AD33" s="36" t="s">
        <v>247</v>
      </c>
      <c r="AE33" s="109"/>
    </row>
    <row r="34" spans="1:31" ht="13.5" thickBot="1" x14ac:dyDescent="0.25">
      <c r="A34" s="68"/>
      <c r="B34" s="51" t="s">
        <v>354</v>
      </c>
      <c r="C34" s="51" t="s">
        <v>382</v>
      </c>
      <c r="D34" s="111" t="s">
        <v>385</v>
      </c>
      <c r="E34" s="36" t="s">
        <v>248</v>
      </c>
      <c r="F34" s="36" t="s">
        <v>246</v>
      </c>
      <c r="G34" s="36" t="s">
        <v>244</v>
      </c>
      <c r="H34" s="35" t="s">
        <v>248</v>
      </c>
      <c r="I34" s="36" t="s">
        <v>246</v>
      </c>
      <c r="J34" s="37" t="s">
        <v>244</v>
      </c>
      <c r="K34" s="36" t="s">
        <v>248</v>
      </c>
      <c r="L34" s="36" t="s">
        <v>246</v>
      </c>
      <c r="M34" s="109" t="s">
        <v>244</v>
      </c>
      <c r="N34" s="112" t="s">
        <v>248</v>
      </c>
      <c r="O34" s="39" t="s">
        <v>246</v>
      </c>
      <c r="P34" s="39" t="s">
        <v>244</v>
      </c>
      <c r="Q34" s="38" t="s">
        <v>248</v>
      </c>
      <c r="R34" s="39" t="s">
        <v>246</v>
      </c>
      <c r="S34" s="40" t="s">
        <v>244</v>
      </c>
      <c r="T34" s="39" t="s">
        <v>248</v>
      </c>
      <c r="U34" s="39" t="s">
        <v>246</v>
      </c>
      <c r="V34" s="113" t="s">
        <v>244</v>
      </c>
      <c r="W34" s="112" t="s">
        <v>248</v>
      </c>
      <c r="X34" s="39" t="s">
        <v>246</v>
      </c>
      <c r="Y34" s="39" t="s">
        <v>244</v>
      </c>
      <c r="Z34" s="38" t="s">
        <v>248</v>
      </c>
      <c r="AA34" s="39" t="s">
        <v>246</v>
      </c>
      <c r="AB34" s="40" t="s">
        <v>244</v>
      </c>
      <c r="AC34" s="39" t="s">
        <v>248</v>
      </c>
      <c r="AD34" s="39" t="s">
        <v>246</v>
      </c>
      <c r="AE34" s="113" t="s">
        <v>244</v>
      </c>
    </row>
    <row r="35" spans="1:31" ht="13.5" thickTop="1" x14ac:dyDescent="0.2">
      <c r="A35" s="52" t="s">
        <v>380</v>
      </c>
      <c r="B35" s="55">
        <v>1</v>
      </c>
      <c r="C35" s="56"/>
      <c r="D35" s="114"/>
      <c r="E35" s="105">
        <f>G35-F35</f>
        <v>17</v>
      </c>
      <c r="F35" s="875">
        <f>Paramètres!EG6</f>
        <v>10</v>
      </c>
      <c r="G35" s="1023">
        <f>Paramètres!EH6</f>
        <v>27</v>
      </c>
      <c r="H35" s="210">
        <f>J35-I35</f>
        <v>4.5</v>
      </c>
      <c r="I35" s="875">
        <f>Paramètres!EJ6</f>
        <v>3.5</v>
      </c>
      <c r="J35" s="1023">
        <f>Paramètres!EK6</f>
        <v>8</v>
      </c>
      <c r="K35" s="118">
        <f>M35-L35</f>
        <v>12</v>
      </c>
      <c r="L35" s="875">
        <f>Paramètres!EM6</f>
        <v>26</v>
      </c>
      <c r="M35" s="1023">
        <f>Paramètres!EN6</f>
        <v>38</v>
      </c>
      <c r="N35" s="105">
        <f>P35-O35</f>
        <v>17</v>
      </c>
      <c r="O35" s="875">
        <f>Paramètres!EG28</f>
        <v>10</v>
      </c>
      <c r="P35" s="1023">
        <f>Paramètres!EH28</f>
        <v>27</v>
      </c>
      <c r="Q35" s="210">
        <f>S35-R35</f>
        <v>4.5</v>
      </c>
      <c r="R35" s="875">
        <f>Paramètres!EJ28</f>
        <v>3.5</v>
      </c>
      <c r="S35" s="1023">
        <f>Paramètres!EK28</f>
        <v>8</v>
      </c>
      <c r="T35" s="118">
        <f>V35-U35</f>
        <v>12</v>
      </c>
      <c r="U35" s="875">
        <f>Paramètres!EM28</f>
        <v>26</v>
      </c>
      <c r="V35" s="1023">
        <f>Paramètres!EN28</f>
        <v>38</v>
      </c>
      <c r="W35" s="105">
        <f>Y35-X35</f>
        <v>17</v>
      </c>
      <c r="X35" s="875">
        <f>Paramètres!EG50</f>
        <v>10</v>
      </c>
      <c r="Y35" s="1023">
        <f>Paramètres!EH50</f>
        <v>27</v>
      </c>
      <c r="Z35" s="210">
        <f>AB35-AA35</f>
        <v>4.5</v>
      </c>
      <c r="AA35" s="875">
        <f>Paramètres!EJ50</f>
        <v>3.5</v>
      </c>
      <c r="AB35" s="1023">
        <f>Paramètres!EK50</f>
        <v>8</v>
      </c>
      <c r="AC35" s="118">
        <f>AE35-AD35</f>
        <v>12</v>
      </c>
      <c r="AD35" s="875">
        <f>Paramètres!EM50</f>
        <v>26</v>
      </c>
      <c r="AE35" s="1047">
        <f>Paramètres!EN50</f>
        <v>38</v>
      </c>
    </row>
    <row r="36" spans="1:31" x14ac:dyDescent="0.2">
      <c r="A36" s="120"/>
      <c r="B36" s="34">
        <v>2</v>
      </c>
      <c r="C36" s="63"/>
      <c r="D36" s="121"/>
      <c r="E36" s="106">
        <f t="shared" ref="E36:E42" si="26">G36-F36</f>
        <v>22</v>
      </c>
      <c r="F36" s="1018">
        <f>Paramètres!EG7</f>
        <v>24</v>
      </c>
      <c r="G36" s="1018">
        <f>Paramètres!EH7</f>
        <v>46</v>
      </c>
      <c r="H36" s="660">
        <f t="shared" ref="H36:H42" si="27">J36-I36</f>
        <v>8.5</v>
      </c>
      <c r="I36" s="1018">
        <f>Paramètres!EJ7</f>
        <v>7.5</v>
      </c>
      <c r="J36" s="1018">
        <f>Paramètres!EK7</f>
        <v>16</v>
      </c>
      <c r="K36" s="122">
        <f t="shared" ref="K36:K52" si="28">M36-L36</f>
        <v>22</v>
      </c>
      <c r="L36" s="1018">
        <f>Paramètres!EM7</f>
        <v>43</v>
      </c>
      <c r="M36" s="1018">
        <f>Paramètres!EN7</f>
        <v>65</v>
      </c>
      <c r="N36" s="106">
        <f t="shared" ref="N36:N54" si="29">P36-O36</f>
        <v>22</v>
      </c>
      <c r="O36" s="1018">
        <f>Paramètres!EG29</f>
        <v>25</v>
      </c>
      <c r="P36" s="1018">
        <f>Paramètres!EH29</f>
        <v>47</v>
      </c>
      <c r="Q36" s="660">
        <f t="shared" ref="Q36:Q54" si="30">S36-R36</f>
        <v>12</v>
      </c>
      <c r="R36" s="1018">
        <f>Paramètres!EJ29</f>
        <v>8</v>
      </c>
      <c r="S36" s="1018">
        <f>Paramètres!EK29</f>
        <v>20</v>
      </c>
      <c r="T36" s="122">
        <f t="shared" ref="T36:T46" si="31">V36-U36</f>
        <v>23</v>
      </c>
      <c r="U36" s="1018">
        <f>Paramètres!EM29</f>
        <v>45</v>
      </c>
      <c r="V36" s="1018">
        <f>Paramètres!EN29</f>
        <v>68</v>
      </c>
      <c r="W36" s="106">
        <f t="shared" ref="W36:W52" si="32">Y36-X36</f>
        <v>26</v>
      </c>
      <c r="X36" s="1018">
        <f>Paramètres!EG51</f>
        <v>26</v>
      </c>
      <c r="Y36" s="1018">
        <f>Paramètres!EH51</f>
        <v>52</v>
      </c>
      <c r="Z36" s="660">
        <f t="shared" ref="Z36:Z52" si="33">AB36-AA36</f>
        <v>14.5</v>
      </c>
      <c r="AA36" s="1018">
        <f>Paramètres!EJ51</f>
        <v>8.5</v>
      </c>
      <c r="AB36" s="1018">
        <f>Paramètres!EK51</f>
        <v>23</v>
      </c>
      <c r="AC36" s="122">
        <f t="shared" ref="AC36:AC47" si="34">AE36-AD36</f>
        <v>26</v>
      </c>
      <c r="AD36" s="1018">
        <f>Paramètres!EM51</f>
        <v>48</v>
      </c>
      <c r="AE36" s="1048">
        <f>Paramètres!EN51</f>
        <v>74</v>
      </c>
    </row>
    <row r="37" spans="1:31" x14ac:dyDescent="0.2">
      <c r="A37" s="120"/>
      <c r="B37" s="68">
        <v>3</v>
      </c>
      <c r="C37" s="51">
        <v>28</v>
      </c>
      <c r="D37" s="124" t="s">
        <v>183</v>
      </c>
      <c r="E37" s="125">
        <f t="shared" si="26"/>
        <v>14</v>
      </c>
      <c r="F37" s="876">
        <f>Paramètres!EG8</f>
        <v>0</v>
      </c>
      <c r="G37" s="876">
        <f>Paramètres!EH8</f>
        <v>14</v>
      </c>
      <c r="H37" s="204">
        <f t="shared" si="27"/>
        <v>3.5</v>
      </c>
      <c r="I37" s="876">
        <f>Paramètres!EJ8</f>
        <v>0</v>
      </c>
      <c r="J37" s="876">
        <f>Paramètres!EK8</f>
        <v>3.5</v>
      </c>
      <c r="K37" s="128">
        <f t="shared" si="28"/>
        <v>13</v>
      </c>
      <c r="L37" s="876">
        <f>Paramètres!EM8</f>
        <v>0</v>
      </c>
      <c r="M37" s="876">
        <f>Paramètres!EN8</f>
        <v>13</v>
      </c>
      <c r="N37" s="125">
        <f t="shared" si="29"/>
        <v>16</v>
      </c>
      <c r="O37" s="876">
        <f>Paramètres!EG30</f>
        <v>0</v>
      </c>
      <c r="P37" s="876">
        <f>Paramètres!EH30</f>
        <v>16</v>
      </c>
      <c r="Q37" s="204">
        <f t="shared" si="30"/>
        <v>4.5</v>
      </c>
      <c r="R37" s="876">
        <f>Paramètres!EJ30</f>
        <v>0</v>
      </c>
      <c r="S37" s="876">
        <f>Paramètres!EK30</f>
        <v>4.5</v>
      </c>
      <c r="T37" s="128">
        <f t="shared" si="31"/>
        <v>15</v>
      </c>
      <c r="U37" s="876">
        <f>Paramètres!EM30</f>
        <v>0</v>
      </c>
      <c r="V37" s="876">
        <f>Paramètres!EN30</f>
        <v>15</v>
      </c>
      <c r="W37" s="125">
        <f t="shared" si="32"/>
        <v>16</v>
      </c>
      <c r="X37" s="876">
        <f>Paramètres!EG52</f>
        <v>0</v>
      </c>
      <c r="Y37" s="876">
        <f>Paramètres!EH52</f>
        <v>16</v>
      </c>
      <c r="Z37" s="204">
        <f t="shared" si="33"/>
        <v>5</v>
      </c>
      <c r="AA37" s="876">
        <f>Paramètres!EJ52</f>
        <v>0</v>
      </c>
      <c r="AB37" s="876">
        <f>Paramètres!EK52</f>
        <v>5</v>
      </c>
      <c r="AC37" s="128">
        <f t="shared" si="34"/>
        <v>20</v>
      </c>
      <c r="AD37" s="876">
        <f>Paramètres!EM52</f>
        <v>0</v>
      </c>
      <c r="AE37" s="1049">
        <f>Paramètres!EN52</f>
        <v>20</v>
      </c>
    </row>
    <row r="38" spans="1:31" x14ac:dyDescent="0.2">
      <c r="A38" s="120"/>
      <c r="B38" s="68"/>
      <c r="C38" s="51"/>
      <c r="D38" s="124" t="s">
        <v>163</v>
      </c>
      <c r="E38" s="125">
        <f t="shared" si="26"/>
        <v>0</v>
      </c>
      <c r="F38" s="68">
        <f>G38</f>
        <v>24</v>
      </c>
      <c r="G38" s="876">
        <f>Paramètres!EH9</f>
        <v>24</v>
      </c>
      <c r="H38" s="204">
        <f t="shared" si="27"/>
        <v>0</v>
      </c>
      <c r="I38" s="68">
        <f>J38</f>
        <v>8</v>
      </c>
      <c r="J38" s="876">
        <f>Paramètres!EK9</f>
        <v>8</v>
      </c>
      <c r="K38" s="128">
        <f t="shared" si="28"/>
        <v>0</v>
      </c>
      <c r="L38" s="68">
        <f>M38</f>
        <v>31</v>
      </c>
      <c r="M38" s="876">
        <f>Paramètres!EN9</f>
        <v>31</v>
      </c>
      <c r="N38" s="125">
        <f t="shared" si="29"/>
        <v>0</v>
      </c>
      <c r="O38" s="68">
        <f>P38</f>
        <v>29</v>
      </c>
      <c r="P38" s="876">
        <f>Paramètres!EH31</f>
        <v>29</v>
      </c>
      <c r="Q38" s="204">
        <f t="shared" si="30"/>
        <v>0</v>
      </c>
      <c r="R38" s="68">
        <f>S38</f>
        <v>9</v>
      </c>
      <c r="S38" s="876">
        <f>Paramètres!EK31</f>
        <v>9</v>
      </c>
      <c r="T38" s="128">
        <f t="shared" si="31"/>
        <v>0</v>
      </c>
      <c r="U38" s="68">
        <f>V38</f>
        <v>36</v>
      </c>
      <c r="V38" s="876">
        <f>Paramètres!EN31</f>
        <v>36</v>
      </c>
      <c r="W38" s="125">
        <f t="shared" si="32"/>
        <v>0</v>
      </c>
      <c r="X38" s="68">
        <f>Y38</f>
        <v>36</v>
      </c>
      <c r="Y38" s="876">
        <f>Paramètres!EH53</f>
        <v>36</v>
      </c>
      <c r="Z38" s="204">
        <f t="shared" si="33"/>
        <v>0</v>
      </c>
      <c r="AA38" s="68">
        <f>AB38</f>
        <v>12</v>
      </c>
      <c r="AB38" s="876">
        <f>Paramètres!EK53</f>
        <v>12</v>
      </c>
      <c r="AC38" s="128">
        <f t="shared" si="34"/>
        <v>0</v>
      </c>
      <c r="AD38" s="68">
        <f>AE38</f>
        <v>47</v>
      </c>
      <c r="AE38" s="1049">
        <f>Paramètres!EN53</f>
        <v>47</v>
      </c>
    </row>
    <row r="39" spans="1:31" x14ac:dyDescent="0.2">
      <c r="A39" s="120"/>
      <c r="B39" s="68"/>
      <c r="C39" s="130">
        <v>30</v>
      </c>
      <c r="D39" s="131" t="s">
        <v>183</v>
      </c>
      <c r="E39" s="132">
        <f t="shared" si="26"/>
        <v>22</v>
      </c>
      <c r="F39" s="892">
        <f>Paramètres!EG10</f>
        <v>0</v>
      </c>
      <c r="G39" s="892">
        <f>Paramètres!EH10</f>
        <v>22</v>
      </c>
      <c r="H39" s="279">
        <f t="shared" si="27"/>
        <v>5.5</v>
      </c>
      <c r="I39" s="892">
        <f>Paramètres!EJ10</f>
        <v>0</v>
      </c>
      <c r="J39" s="892">
        <f>Paramètres!EK10</f>
        <v>5.5</v>
      </c>
      <c r="K39" s="136">
        <f t="shared" si="28"/>
        <v>20</v>
      </c>
      <c r="L39" s="892">
        <f>Paramètres!EM10</f>
        <v>0</v>
      </c>
      <c r="M39" s="892">
        <f>Paramètres!EN10</f>
        <v>20</v>
      </c>
      <c r="N39" s="132">
        <f t="shared" si="29"/>
        <v>23</v>
      </c>
      <c r="O39" s="892">
        <f>Paramètres!EG32</f>
        <v>0</v>
      </c>
      <c r="P39" s="892">
        <f>Paramètres!EH32</f>
        <v>23</v>
      </c>
      <c r="Q39" s="279">
        <f t="shared" si="30"/>
        <v>6</v>
      </c>
      <c r="R39" s="892">
        <f>Paramètres!EJ32</f>
        <v>0</v>
      </c>
      <c r="S39" s="892">
        <f>Paramètres!EK32</f>
        <v>6</v>
      </c>
      <c r="T39" s="136">
        <f t="shared" si="31"/>
        <v>22</v>
      </c>
      <c r="U39" s="892">
        <f>Paramètres!EM32</f>
        <v>0</v>
      </c>
      <c r="V39" s="892">
        <f>Paramètres!EN32</f>
        <v>22</v>
      </c>
      <c r="W39" s="132">
        <f t="shared" si="32"/>
        <v>25</v>
      </c>
      <c r="X39" s="892">
        <f>Paramètres!EG54</f>
        <v>0</v>
      </c>
      <c r="Y39" s="892">
        <f>Paramètres!EH54</f>
        <v>25</v>
      </c>
      <c r="Z39" s="279">
        <f t="shared" si="33"/>
        <v>6.5</v>
      </c>
      <c r="AA39" s="892">
        <f>Paramètres!EJ54</f>
        <v>0</v>
      </c>
      <c r="AB39" s="892">
        <f>Paramètres!EK54</f>
        <v>6.5</v>
      </c>
      <c r="AC39" s="136">
        <f t="shared" si="34"/>
        <v>25</v>
      </c>
      <c r="AD39" s="892">
        <f>Paramètres!EM54</f>
        <v>0</v>
      </c>
      <c r="AE39" s="1050">
        <f>Paramètres!EN54</f>
        <v>25</v>
      </c>
    </row>
    <row r="40" spans="1:31" x14ac:dyDescent="0.2">
      <c r="A40" s="120"/>
      <c r="B40" s="68"/>
      <c r="C40" s="138"/>
      <c r="D40" s="139" t="s">
        <v>163</v>
      </c>
      <c r="E40" s="140">
        <f t="shared" si="26"/>
        <v>0</v>
      </c>
      <c r="F40" s="141">
        <f>G40</f>
        <v>40</v>
      </c>
      <c r="G40" s="1024">
        <f>Paramètres!EH11</f>
        <v>40</v>
      </c>
      <c r="H40" s="661">
        <f t="shared" si="27"/>
        <v>0</v>
      </c>
      <c r="I40" s="141">
        <f>J40</f>
        <v>13</v>
      </c>
      <c r="J40" s="1024">
        <f>Paramètres!EK11</f>
        <v>13</v>
      </c>
      <c r="K40" s="142">
        <f t="shared" si="28"/>
        <v>0</v>
      </c>
      <c r="L40" s="141">
        <f>M40</f>
        <v>48</v>
      </c>
      <c r="M40" s="1024">
        <f>Paramètres!EN11</f>
        <v>48</v>
      </c>
      <c r="N40" s="140">
        <f t="shared" si="29"/>
        <v>0</v>
      </c>
      <c r="O40" s="141">
        <f>P40</f>
        <v>46</v>
      </c>
      <c r="P40" s="1024">
        <f>Paramètres!EH33</f>
        <v>46</v>
      </c>
      <c r="Q40" s="661">
        <f t="shared" si="30"/>
        <v>0</v>
      </c>
      <c r="R40" s="141">
        <f>S40</f>
        <v>15</v>
      </c>
      <c r="S40" s="1024">
        <f>Paramètres!EK33</f>
        <v>15</v>
      </c>
      <c r="T40" s="142">
        <f t="shared" si="31"/>
        <v>0</v>
      </c>
      <c r="U40" s="141">
        <f>V40</f>
        <v>54</v>
      </c>
      <c r="V40" s="1024">
        <f>Paramètres!EN33</f>
        <v>54</v>
      </c>
      <c r="W40" s="140">
        <f t="shared" si="32"/>
        <v>0</v>
      </c>
      <c r="X40" s="141">
        <f>Y40</f>
        <v>54</v>
      </c>
      <c r="Y40" s="1024">
        <f>Paramètres!EH55</f>
        <v>54</v>
      </c>
      <c r="Z40" s="661">
        <f t="shared" si="33"/>
        <v>0</v>
      </c>
      <c r="AA40" s="141">
        <f>AB40</f>
        <v>17</v>
      </c>
      <c r="AB40" s="1024">
        <f>Paramètres!EK55</f>
        <v>17</v>
      </c>
      <c r="AC40" s="142">
        <f t="shared" si="34"/>
        <v>0</v>
      </c>
      <c r="AD40" s="141">
        <f>AE40</f>
        <v>64</v>
      </c>
      <c r="AE40" s="1051">
        <f>Paramètres!EN55</f>
        <v>64</v>
      </c>
    </row>
    <row r="41" spans="1:31" x14ac:dyDescent="0.2">
      <c r="A41" s="120"/>
      <c r="B41" s="68"/>
      <c r="C41" s="51">
        <v>33</v>
      </c>
      <c r="D41" s="144"/>
      <c r="E41" s="125">
        <f t="shared" si="26"/>
        <v>13</v>
      </c>
      <c r="F41" s="876">
        <f>Paramètres!EG12</f>
        <v>42</v>
      </c>
      <c r="G41" s="876">
        <f>Paramètres!EH12</f>
        <v>55</v>
      </c>
      <c r="H41" s="204">
        <f t="shared" si="27"/>
        <v>3.5</v>
      </c>
      <c r="I41" s="876">
        <f>Paramètres!EJ12</f>
        <v>13.5</v>
      </c>
      <c r="J41" s="876">
        <f>Paramètres!EK12</f>
        <v>17</v>
      </c>
      <c r="K41" s="128">
        <f t="shared" si="28"/>
        <v>18</v>
      </c>
      <c r="L41" s="876">
        <f>Paramètres!EM12</f>
        <v>42</v>
      </c>
      <c r="M41" s="876">
        <f>Paramètres!EN12</f>
        <v>60</v>
      </c>
      <c r="N41" s="125">
        <f t="shared" si="29"/>
        <v>13</v>
      </c>
      <c r="O41" s="876">
        <f>Paramètres!EG34</f>
        <v>46</v>
      </c>
      <c r="P41" s="876">
        <f>Paramètres!EH34</f>
        <v>59</v>
      </c>
      <c r="Q41" s="204">
        <f t="shared" si="30"/>
        <v>4</v>
      </c>
      <c r="R41" s="876">
        <f>Paramètres!EJ34</f>
        <v>15</v>
      </c>
      <c r="S41" s="876">
        <f>Paramètres!EK34</f>
        <v>19</v>
      </c>
      <c r="T41" s="128">
        <f t="shared" si="31"/>
        <v>18</v>
      </c>
      <c r="U41" s="876">
        <f>Paramètres!EM34</f>
        <v>46</v>
      </c>
      <c r="V41" s="876">
        <f>Paramètres!EN34</f>
        <v>64</v>
      </c>
      <c r="W41" s="125">
        <f t="shared" si="32"/>
        <v>14</v>
      </c>
      <c r="X41" s="876">
        <f>Paramètres!EG56</f>
        <v>54</v>
      </c>
      <c r="Y41" s="876">
        <f>Paramètres!EH56</f>
        <v>68</v>
      </c>
      <c r="Z41" s="204">
        <f t="shared" si="33"/>
        <v>8</v>
      </c>
      <c r="AA41" s="876">
        <f>Paramètres!EJ56</f>
        <v>17</v>
      </c>
      <c r="AB41" s="876">
        <f>Paramètres!EK56</f>
        <v>25</v>
      </c>
      <c r="AC41" s="128">
        <f t="shared" si="34"/>
        <v>19</v>
      </c>
      <c r="AD41" s="876">
        <f>Paramètres!EM56</f>
        <v>48</v>
      </c>
      <c r="AE41" s="1049">
        <f>Paramètres!EN56</f>
        <v>67</v>
      </c>
    </row>
    <row r="42" spans="1:31" ht="13.5" thickBot="1" x14ac:dyDescent="0.25">
      <c r="A42" s="120"/>
      <c r="B42" s="68"/>
      <c r="C42" s="130">
        <v>36</v>
      </c>
      <c r="D42" s="145"/>
      <c r="E42" s="146">
        <f t="shared" si="26"/>
        <v>24</v>
      </c>
      <c r="F42" s="1019">
        <f>Paramètres!EG13</f>
        <v>45</v>
      </c>
      <c r="G42" s="1019">
        <f>Paramètres!EH13</f>
        <v>69</v>
      </c>
      <c r="H42" s="662">
        <f t="shared" si="27"/>
        <v>13</v>
      </c>
      <c r="I42" s="1019">
        <f>Paramètres!EJ13</f>
        <v>15</v>
      </c>
      <c r="J42" s="1019">
        <f>Paramètres!EK13</f>
        <v>28</v>
      </c>
      <c r="K42" s="148">
        <f t="shared" si="28"/>
        <v>27</v>
      </c>
      <c r="L42" s="1019">
        <f>Paramètres!EM13</f>
        <v>65</v>
      </c>
      <c r="M42" s="1019">
        <f>Paramètres!EN13</f>
        <v>92</v>
      </c>
      <c r="N42" s="146">
        <f t="shared" si="29"/>
        <v>27</v>
      </c>
      <c r="O42" s="1019">
        <f>Paramètres!EG35</f>
        <v>48</v>
      </c>
      <c r="P42" s="1019">
        <f>Paramètres!EH35</f>
        <v>75</v>
      </c>
      <c r="Q42" s="662">
        <f t="shared" si="30"/>
        <v>14</v>
      </c>
      <c r="R42" s="1019">
        <f>Paramètres!EJ35</f>
        <v>16</v>
      </c>
      <c r="S42" s="1019">
        <f>Paramètres!EK35</f>
        <v>30</v>
      </c>
      <c r="T42" s="148">
        <f t="shared" si="31"/>
        <v>30</v>
      </c>
      <c r="U42" s="1019">
        <f>Paramètres!EM35</f>
        <v>68</v>
      </c>
      <c r="V42" s="1019">
        <f>Paramètres!EN35</f>
        <v>98</v>
      </c>
      <c r="W42" s="146">
        <f t="shared" si="32"/>
        <v>30</v>
      </c>
      <c r="X42" s="1019">
        <f>Paramètres!EG57</f>
        <v>48</v>
      </c>
      <c r="Y42" s="1019">
        <f>Paramètres!EH57</f>
        <v>78</v>
      </c>
      <c r="Z42" s="662">
        <f t="shared" si="33"/>
        <v>17</v>
      </c>
      <c r="AA42" s="1019">
        <f>Paramètres!EJ57</f>
        <v>16</v>
      </c>
      <c r="AB42" s="1019">
        <f>Paramètres!EK57</f>
        <v>33</v>
      </c>
      <c r="AC42" s="148">
        <f t="shared" si="34"/>
        <v>32</v>
      </c>
      <c r="AD42" s="1019">
        <f>Paramètres!EM57</f>
        <v>68</v>
      </c>
      <c r="AE42" s="1052">
        <f>Paramètres!EN57</f>
        <v>100</v>
      </c>
    </row>
    <row r="43" spans="1:31" ht="13.5" thickTop="1" x14ac:dyDescent="0.2">
      <c r="A43" s="80" t="s">
        <v>351</v>
      </c>
      <c r="B43" s="81">
        <v>2</v>
      </c>
      <c r="C43" s="82"/>
      <c r="D43" s="149"/>
      <c r="E43" s="150">
        <f t="shared" ref="E43:E52" si="35">G43-F43</f>
        <v>15</v>
      </c>
      <c r="F43" s="1020">
        <f>Paramètres!EG14</f>
        <v>27</v>
      </c>
      <c r="G43" s="1020">
        <f>Paramètres!EH14</f>
        <v>42</v>
      </c>
      <c r="H43" s="274">
        <f t="shared" ref="H43:H52" si="36">J43-I43</f>
        <v>4.5</v>
      </c>
      <c r="I43" s="1020">
        <f>Paramètres!EJ14</f>
        <v>8.5</v>
      </c>
      <c r="J43" s="1020">
        <f>Paramètres!EK14</f>
        <v>13</v>
      </c>
      <c r="K43" s="153">
        <f t="shared" si="28"/>
        <v>15</v>
      </c>
      <c r="L43" s="1020">
        <f>Paramètres!EM14</f>
        <v>45</v>
      </c>
      <c r="M43" s="1020">
        <f>Paramètres!EN14</f>
        <v>60</v>
      </c>
      <c r="N43" s="150">
        <f t="shared" si="29"/>
        <v>15</v>
      </c>
      <c r="O43" s="1020">
        <f>Paramètres!EG36</f>
        <v>29</v>
      </c>
      <c r="P43" s="1020">
        <f>Paramètres!EH36</f>
        <v>44</v>
      </c>
      <c r="Q43" s="274">
        <f t="shared" si="30"/>
        <v>4.5</v>
      </c>
      <c r="R43" s="1020">
        <f>Paramètres!EJ36</f>
        <v>9.5</v>
      </c>
      <c r="S43" s="1020">
        <f>Paramètres!EK36</f>
        <v>14</v>
      </c>
      <c r="T43" s="153">
        <f t="shared" si="31"/>
        <v>17</v>
      </c>
      <c r="U43" s="1020">
        <f>Paramètres!EM36</f>
        <v>48</v>
      </c>
      <c r="V43" s="1020">
        <f>Paramètres!EN36</f>
        <v>65</v>
      </c>
      <c r="W43" s="150">
        <f t="shared" si="32"/>
        <v>18</v>
      </c>
      <c r="X43" s="1020">
        <f>Paramètres!EG58</f>
        <v>31</v>
      </c>
      <c r="Y43" s="1020">
        <f>Paramètres!EH58</f>
        <v>49</v>
      </c>
      <c r="Z43" s="274">
        <f t="shared" si="33"/>
        <v>5</v>
      </c>
      <c r="AA43" s="1020">
        <f>Paramètres!EJ58</f>
        <v>10</v>
      </c>
      <c r="AB43" s="1020">
        <f>Paramètres!EK58</f>
        <v>15</v>
      </c>
      <c r="AC43" s="153">
        <f t="shared" si="34"/>
        <v>18</v>
      </c>
      <c r="AD43" s="1020">
        <f>Paramètres!EM58</f>
        <v>52</v>
      </c>
      <c r="AE43" s="1053">
        <f>Paramètres!EN58</f>
        <v>70</v>
      </c>
    </row>
    <row r="44" spans="1:31" x14ac:dyDescent="0.2">
      <c r="A44" s="61"/>
      <c r="B44" s="51">
        <v>3</v>
      </c>
      <c r="C44" s="51">
        <v>30</v>
      </c>
      <c r="D44" s="124" t="s">
        <v>183</v>
      </c>
      <c r="E44" s="125">
        <f t="shared" si="35"/>
        <v>22</v>
      </c>
      <c r="F44" s="876">
        <f>Paramètres!EG15</f>
        <v>0</v>
      </c>
      <c r="G44" s="876">
        <f>Paramètres!EH15</f>
        <v>22</v>
      </c>
      <c r="H44" s="204">
        <f t="shared" si="36"/>
        <v>6</v>
      </c>
      <c r="I44" s="876">
        <f>Paramètres!EJ15</f>
        <v>0</v>
      </c>
      <c r="J44" s="876">
        <f>Paramètres!EK15</f>
        <v>6</v>
      </c>
      <c r="K44" s="128">
        <f t="shared" si="28"/>
        <v>22</v>
      </c>
      <c r="L44" s="876">
        <f>Paramètres!EM15</f>
        <v>0</v>
      </c>
      <c r="M44" s="876">
        <f>Paramètres!EN15</f>
        <v>22</v>
      </c>
      <c r="N44" s="125">
        <f t="shared" si="29"/>
        <v>23</v>
      </c>
      <c r="O44" s="876">
        <f>Paramètres!EG37</f>
        <v>0</v>
      </c>
      <c r="P44" s="876">
        <f>Paramètres!EH37</f>
        <v>23</v>
      </c>
      <c r="Q44" s="204">
        <f t="shared" si="30"/>
        <v>6.5</v>
      </c>
      <c r="R44" s="876">
        <f>Paramètres!EJ37</f>
        <v>0</v>
      </c>
      <c r="S44" s="876">
        <f>Paramètres!EK37</f>
        <v>6.5</v>
      </c>
      <c r="T44" s="128">
        <f t="shared" si="31"/>
        <v>24</v>
      </c>
      <c r="U44" s="876">
        <f>Paramètres!EM37</f>
        <v>0</v>
      </c>
      <c r="V44" s="876">
        <f>Paramètres!EN37</f>
        <v>24</v>
      </c>
      <c r="W44" s="125">
        <f t="shared" si="32"/>
        <v>24</v>
      </c>
      <c r="X44" s="876">
        <f>Paramètres!EG59</f>
        <v>0</v>
      </c>
      <c r="Y44" s="876">
        <f>Paramètres!EH59</f>
        <v>24</v>
      </c>
      <c r="Z44" s="204">
        <f t="shared" si="33"/>
        <v>7</v>
      </c>
      <c r="AA44" s="876">
        <f>Paramètres!EJ59</f>
        <v>0</v>
      </c>
      <c r="AB44" s="876">
        <f>Paramètres!EK59</f>
        <v>7</v>
      </c>
      <c r="AC44" s="128">
        <f t="shared" si="34"/>
        <v>26</v>
      </c>
      <c r="AD44" s="876">
        <f>Paramètres!EM59</f>
        <v>0</v>
      </c>
      <c r="AE44" s="1049">
        <f>Paramètres!EN59</f>
        <v>26</v>
      </c>
    </row>
    <row r="45" spans="1:31" x14ac:dyDescent="0.2">
      <c r="A45" s="61"/>
      <c r="B45" s="51"/>
      <c r="C45" s="51"/>
      <c r="D45" s="124" t="s">
        <v>163</v>
      </c>
      <c r="E45" s="125">
        <f t="shared" si="35"/>
        <v>0</v>
      </c>
      <c r="F45" s="68">
        <f>G45</f>
        <v>37</v>
      </c>
      <c r="G45" s="876">
        <f>Paramètres!EH16</f>
        <v>37</v>
      </c>
      <c r="H45" s="204">
        <f t="shared" si="36"/>
        <v>0</v>
      </c>
      <c r="I45" s="68">
        <f>J45</f>
        <v>12</v>
      </c>
      <c r="J45" s="876">
        <f>Paramètres!EK16</f>
        <v>12</v>
      </c>
      <c r="K45" s="128">
        <f t="shared" si="28"/>
        <v>0</v>
      </c>
      <c r="L45" s="68">
        <f>M45</f>
        <v>46</v>
      </c>
      <c r="M45" s="876">
        <f>Paramètres!EN16</f>
        <v>46</v>
      </c>
      <c r="N45" s="125">
        <f t="shared" si="29"/>
        <v>0</v>
      </c>
      <c r="O45" s="68">
        <f>P45</f>
        <v>46</v>
      </c>
      <c r="P45" s="876">
        <f>Paramètres!EH38</f>
        <v>46</v>
      </c>
      <c r="Q45" s="204">
        <f t="shared" si="30"/>
        <v>0</v>
      </c>
      <c r="R45" s="68">
        <f>S45</f>
        <v>15</v>
      </c>
      <c r="S45" s="876">
        <f>Paramètres!EK38</f>
        <v>15</v>
      </c>
      <c r="T45" s="128">
        <f t="shared" si="31"/>
        <v>0</v>
      </c>
      <c r="U45" s="68">
        <f>V45</f>
        <v>50</v>
      </c>
      <c r="V45" s="876">
        <f>Paramètres!EN38</f>
        <v>50</v>
      </c>
      <c r="W45" s="125">
        <f t="shared" si="32"/>
        <v>0</v>
      </c>
      <c r="X45" s="68">
        <f>Y45</f>
        <v>48</v>
      </c>
      <c r="Y45" s="876">
        <f>Paramètres!EH60</f>
        <v>48</v>
      </c>
      <c r="Z45" s="204">
        <f t="shared" si="33"/>
        <v>0</v>
      </c>
      <c r="AA45" s="68">
        <f>AB45</f>
        <v>16</v>
      </c>
      <c r="AB45" s="876">
        <f>Paramètres!EK60</f>
        <v>16</v>
      </c>
      <c r="AC45" s="128">
        <f t="shared" si="34"/>
        <v>0</v>
      </c>
      <c r="AD45" s="68">
        <f>AE45</f>
        <v>55</v>
      </c>
      <c r="AE45" s="1049">
        <f>Paramètres!EN60</f>
        <v>55</v>
      </c>
    </row>
    <row r="46" spans="1:31" x14ac:dyDescent="0.2">
      <c r="A46" s="61"/>
      <c r="B46" s="51"/>
      <c r="C46" s="130">
        <v>33</v>
      </c>
      <c r="D46" s="145"/>
      <c r="E46" s="132">
        <f t="shared" si="35"/>
        <v>13</v>
      </c>
      <c r="F46" s="892">
        <f>Paramètres!EG17</f>
        <v>36</v>
      </c>
      <c r="G46" s="892">
        <f>Paramètres!EH17</f>
        <v>49</v>
      </c>
      <c r="H46" s="279">
        <f t="shared" si="36"/>
        <v>4</v>
      </c>
      <c r="I46" s="892">
        <f>Paramètres!EJ17</f>
        <v>11</v>
      </c>
      <c r="J46" s="892">
        <f>Paramètres!EK17</f>
        <v>15</v>
      </c>
      <c r="K46" s="136">
        <f t="shared" si="28"/>
        <v>17</v>
      </c>
      <c r="L46" s="892">
        <f>Paramètres!EM17</f>
        <v>35</v>
      </c>
      <c r="M46" s="892">
        <f>Paramètres!EN17</f>
        <v>52</v>
      </c>
      <c r="N46" s="132">
        <f t="shared" si="29"/>
        <v>13</v>
      </c>
      <c r="O46" s="892">
        <f>Paramètres!EG39</f>
        <v>38</v>
      </c>
      <c r="P46" s="892">
        <f>Paramètres!EH39</f>
        <v>51</v>
      </c>
      <c r="Q46" s="279">
        <f t="shared" si="30"/>
        <v>3</v>
      </c>
      <c r="R46" s="892">
        <f>Paramètres!EJ39</f>
        <v>12</v>
      </c>
      <c r="S46" s="892">
        <f>Paramètres!EK39</f>
        <v>15</v>
      </c>
      <c r="T46" s="136">
        <f t="shared" si="31"/>
        <v>17</v>
      </c>
      <c r="U46" s="892">
        <f>Paramètres!EM39</f>
        <v>45</v>
      </c>
      <c r="V46" s="892">
        <f>Paramètres!EN39</f>
        <v>62</v>
      </c>
      <c r="W46" s="132">
        <f t="shared" si="32"/>
        <v>13</v>
      </c>
      <c r="X46" s="892">
        <f>Paramètres!EG61</f>
        <v>42</v>
      </c>
      <c r="Y46" s="892">
        <f>Paramètres!EH61</f>
        <v>55</v>
      </c>
      <c r="Z46" s="279">
        <f t="shared" si="33"/>
        <v>3.5</v>
      </c>
      <c r="AA46" s="892">
        <f>Paramètres!EJ61</f>
        <v>13.5</v>
      </c>
      <c r="AB46" s="892">
        <f>Paramètres!EK61</f>
        <v>17</v>
      </c>
      <c r="AC46" s="136">
        <f t="shared" si="34"/>
        <v>18</v>
      </c>
      <c r="AD46" s="892">
        <f>Paramètres!EM61</f>
        <v>45</v>
      </c>
      <c r="AE46" s="1050">
        <f>Paramètres!EN61</f>
        <v>63</v>
      </c>
    </row>
    <row r="47" spans="1:31" x14ac:dyDescent="0.2">
      <c r="A47" s="61"/>
      <c r="B47" s="51"/>
      <c r="C47" s="130">
        <v>36</v>
      </c>
      <c r="D47" s="145"/>
      <c r="E47" s="132">
        <f t="shared" si="35"/>
        <v>26</v>
      </c>
      <c r="F47" s="892">
        <f>Paramètres!EG18</f>
        <v>36</v>
      </c>
      <c r="G47" s="892">
        <f>Paramètres!EH18</f>
        <v>62</v>
      </c>
      <c r="H47" s="279">
        <f t="shared" si="36"/>
        <v>13</v>
      </c>
      <c r="I47" s="892">
        <f>Paramètres!EJ18</f>
        <v>11</v>
      </c>
      <c r="J47" s="892">
        <f>Paramètres!EK18</f>
        <v>24</v>
      </c>
      <c r="K47" s="136">
        <f t="shared" si="28"/>
        <v>24</v>
      </c>
      <c r="L47" s="892">
        <f>Paramètres!EM18</f>
        <v>51</v>
      </c>
      <c r="M47" s="892">
        <f>Paramètres!EN18</f>
        <v>75</v>
      </c>
      <c r="N47" s="132">
        <f t="shared" si="29"/>
        <v>23</v>
      </c>
      <c r="O47" s="892">
        <f>Paramètres!EG40</f>
        <v>42</v>
      </c>
      <c r="P47" s="892">
        <f>Paramètres!EH40</f>
        <v>65</v>
      </c>
      <c r="Q47" s="279">
        <f t="shared" si="30"/>
        <v>12</v>
      </c>
      <c r="R47" s="892">
        <f>Paramètres!EJ40</f>
        <v>14</v>
      </c>
      <c r="S47" s="892">
        <f>Paramètres!EK40</f>
        <v>26</v>
      </c>
      <c r="T47" s="136">
        <f>V47-U47</f>
        <v>31</v>
      </c>
      <c r="U47" s="892">
        <f>Paramètres!EM40</f>
        <v>65</v>
      </c>
      <c r="V47" s="892">
        <f>Paramètres!EN40</f>
        <v>96</v>
      </c>
      <c r="W47" s="132">
        <f t="shared" si="32"/>
        <v>23</v>
      </c>
      <c r="X47" s="892">
        <f>Paramètres!EG62</f>
        <v>49</v>
      </c>
      <c r="Y47" s="892">
        <f>Paramètres!EH62</f>
        <v>72</v>
      </c>
      <c r="Z47" s="279">
        <f t="shared" si="33"/>
        <v>12</v>
      </c>
      <c r="AA47" s="892">
        <f>Paramètres!EJ62</f>
        <v>16</v>
      </c>
      <c r="AB47" s="892">
        <f>Paramètres!EK62</f>
        <v>28</v>
      </c>
      <c r="AC47" s="136">
        <f t="shared" si="34"/>
        <v>27</v>
      </c>
      <c r="AD47" s="892">
        <f>Paramètres!EM62</f>
        <v>65</v>
      </c>
      <c r="AE47" s="1050">
        <f>Paramètres!EN62</f>
        <v>92</v>
      </c>
    </row>
    <row r="48" spans="1:31" x14ac:dyDescent="0.2">
      <c r="A48" s="2852" t="s">
        <v>2358</v>
      </c>
      <c r="B48" s="36"/>
      <c r="C48" s="36"/>
      <c r="D48" s="109"/>
      <c r="E48" s="2818"/>
      <c r="F48" s="2819"/>
      <c r="G48" s="2819"/>
      <c r="H48" s="2820"/>
      <c r="I48" s="2819"/>
      <c r="J48" s="2819"/>
      <c r="K48" s="2821"/>
      <c r="L48" s="2819"/>
      <c r="M48" s="2822"/>
      <c r="N48" s="125">
        <f t="shared" si="29"/>
        <v>19</v>
      </c>
      <c r="O48" s="876">
        <f>Paramètres!EG95</f>
        <v>35</v>
      </c>
      <c r="P48" s="876">
        <f>Paramètres!EH95</f>
        <v>54</v>
      </c>
      <c r="Q48" s="204">
        <f t="shared" si="30"/>
        <v>12.5</v>
      </c>
      <c r="R48" s="876">
        <f>Paramètres!EJ95</f>
        <v>11.5</v>
      </c>
      <c r="S48" s="876">
        <f>Paramètres!EK95</f>
        <v>24</v>
      </c>
      <c r="T48" s="128">
        <f t="shared" ref="T48:T49" si="37">V48-U48</f>
        <v>28</v>
      </c>
      <c r="U48" s="876">
        <f>Paramètres!EM95</f>
        <v>45</v>
      </c>
      <c r="V48" s="1049">
        <f>Paramètres!EN95</f>
        <v>73</v>
      </c>
      <c r="W48" s="2818"/>
      <c r="X48" s="2819"/>
      <c r="Y48" s="2819"/>
      <c r="Z48" s="2820"/>
      <c r="AA48" s="2819"/>
      <c r="AB48" s="2819"/>
      <c r="AC48" s="2821"/>
      <c r="AD48" s="2819"/>
      <c r="AE48" s="2822"/>
    </row>
    <row r="49" spans="1:31" ht="13.5" thickBot="1" x14ac:dyDescent="0.25">
      <c r="A49" s="2853" t="s">
        <v>2357</v>
      </c>
      <c r="B49" s="463"/>
      <c r="C49" s="463"/>
      <c r="D49" s="685"/>
      <c r="E49" s="2818"/>
      <c r="F49" s="2819"/>
      <c r="G49" s="2819"/>
      <c r="H49" s="2820"/>
      <c r="I49" s="2819"/>
      <c r="J49" s="2819"/>
      <c r="K49" s="2821"/>
      <c r="L49" s="2819"/>
      <c r="M49" s="2823"/>
      <c r="N49" s="462">
        <f t="shared" si="29"/>
        <v>22</v>
      </c>
      <c r="O49" s="876">
        <f>Paramètres!EG96</f>
        <v>26</v>
      </c>
      <c r="P49" s="876">
        <f>Paramètres!EH96</f>
        <v>48</v>
      </c>
      <c r="Q49" s="204">
        <f t="shared" si="30"/>
        <v>15.5</v>
      </c>
      <c r="R49" s="876">
        <f>Paramètres!EJ96</f>
        <v>8.5</v>
      </c>
      <c r="S49" s="876">
        <f>Paramètres!EK96</f>
        <v>24</v>
      </c>
      <c r="T49" s="128">
        <f t="shared" si="37"/>
        <v>37</v>
      </c>
      <c r="U49" s="876">
        <f>Paramètres!EM96</f>
        <v>36</v>
      </c>
      <c r="V49" s="1072">
        <f>Paramètres!EN96</f>
        <v>73</v>
      </c>
      <c r="W49" s="2824"/>
      <c r="X49" s="2819"/>
      <c r="Y49" s="2819"/>
      <c r="Z49" s="2820"/>
      <c r="AA49" s="2819"/>
      <c r="AB49" s="2819"/>
      <c r="AC49" s="2821"/>
      <c r="AD49" s="2819"/>
      <c r="AE49" s="2822"/>
    </row>
    <row r="50" spans="1:31" ht="13.5" thickTop="1" x14ac:dyDescent="0.2">
      <c r="A50" s="80" t="s">
        <v>502</v>
      </c>
      <c r="B50" s="440">
        <v>1</v>
      </c>
      <c r="C50" s="56"/>
      <c r="D50" s="114"/>
      <c r="E50" s="575">
        <f t="shared" si="35"/>
        <v>22</v>
      </c>
      <c r="F50" s="1021">
        <f>Paramètres!EG19</f>
        <v>0</v>
      </c>
      <c r="G50" s="1021">
        <f>Paramètres!EH19</f>
        <v>22</v>
      </c>
      <c r="H50" s="268">
        <f t="shared" si="36"/>
        <v>14</v>
      </c>
      <c r="I50" s="1021">
        <f>Paramètres!EJ19</f>
        <v>0</v>
      </c>
      <c r="J50" s="1021">
        <f>Paramètres!EK19</f>
        <v>14</v>
      </c>
      <c r="K50" s="269">
        <f t="shared" si="28"/>
        <v>24.5</v>
      </c>
      <c r="L50" s="1021">
        <f>Paramètres!EM19</f>
        <v>0</v>
      </c>
      <c r="M50" s="1071">
        <f>Paramètres!EN19</f>
        <v>24.5</v>
      </c>
      <c r="N50" s="579"/>
      <c r="O50" s="579"/>
      <c r="P50" s="579"/>
      <c r="Q50" s="665"/>
      <c r="R50" s="579"/>
      <c r="S50" s="579"/>
      <c r="T50" s="579"/>
      <c r="U50" s="579"/>
      <c r="V50" s="579"/>
      <c r="W50" s="579"/>
      <c r="X50" s="579"/>
      <c r="Y50" s="579"/>
      <c r="Z50" s="665"/>
      <c r="AA50" s="579"/>
      <c r="AB50" s="579"/>
      <c r="AC50" s="579"/>
      <c r="AD50" s="579"/>
      <c r="AE50" s="149"/>
    </row>
    <row r="51" spans="1:31" ht="13.5" thickBot="1" x14ac:dyDescent="0.25">
      <c r="A51" s="72"/>
      <c r="B51" s="574">
        <v>2</v>
      </c>
      <c r="C51" s="63"/>
      <c r="D51" s="121"/>
      <c r="E51" s="75">
        <f t="shared" si="35"/>
        <v>20</v>
      </c>
      <c r="F51" s="894">
        <f>Paramètres!EG20</f>
        <v>0</v>
      </c>
      <c r="G51" s="894">
        <f>Paramètres!EH20</f>
        <v>20</v>
      </c>
      <c r="H51" s="206">
        <f t="shared" si="36"/>
        <v>12.5</v>
      </c>
      <c r="I51" s="894">
        <f>Paramètres!EJ20</f>
        <v>0</v>
      </c>
      <c r="J51" s="894">
        <f>Paramètres!EK20</f>
        <v>12.5</v>
      </c>
      <c r="K51" s="207">
        <f t="shared" si="28"/>
        <v>22</v>
      </c>
      <c r="L51" s="894">
        <f>Paramètres!EM20</f>
        <v>0</v>
      </c>
      <c r="M51" s="1072">
        <f>Paramètres!EN20</f>
        <v>22</v>
      </c>
      <c r="N51" s="580"/>
      <c r="O51" s="580"/>
      <c r="P51" s="580"/>
      <c r="Q51" s="666"/>
      <c r="R51" s="580"/>
      <c r="S51" s="580"/>
      <c r="T51" s="580"/>
      <c r="U51" s="580"/>
      <c r="V51" s="580"/>
      <c r="W51" s="580"/>
      <c r="X51" s="580"/>
      <c r="Y51" s="580"/>
      <c r="Z51" s="666"/>
      <c r="AA51" s="580"/>
      <c r="AB51" s="580"/>
      <c r="AC51" s="580"/>
      <c r="AD51" s="580"/>
      <c r="AE51" s="582"/>
    </row>
    <row r="52" spans="1:31" ht="14.25" thickTop="1" thickBot="1" x14ac:dyDescent="0.25">
      <c r="A52" s="89" t="s">
        <v>501</v>
      </c>
      <c r="B52" s="90" t="s">
        <v>383</v>
      </c>
      <c r="C52" s="90"/>
      <c r="D52" s="155" t="s">
        <v>183</v>
      </c>
      <c r="E52" s="156">
        <f t="shared" si="35"/>
        <v>30</v>
      </c>
      <c r="F52" s="1022">
        <f>Paramètres!EG21</f>
        <v>0</v>
      </c>
      <c r="G52" s="1022">
        <f>Paramètres!EH21</f>
        <v>30</v>
      </c>
      <c r="H52" s="219">
        <f t="shared" si="36"/>
        <v>16</v>
      </c>
      <c r="I52" s="1022">
        <f>Paramètres!EJ21</f>
        <v>0</v>
      </c>
      <c r="J52" s="1022">
        <f>Paramètres!EK21</f>
        <v>16</v>
      </c>
      <c r="K52" s="157">
        <f t="shared" si="28"/>
        <v>34</v>
      </c>
      <c r="L52" s="1022">
        <f>Paramètres!EM21</f>
        <v>0</v>
      </c>
      <c r="M52" s="1054">
        <f>Paramètres!EN21</f>
        <v>34</v>
      </c>
      <c r="N52" s="156">
        <f t="shared" si="29"/>
        <v>32</v>
      </c>
      <c r="O52" s="1022">
        <f>Paramètres!EG43</f>
        <v>0</v>
      </c>
      <c r="P52" s="1022">
        <f>Paramètres!EH43</f>
        <v>32</v>
      </c>
      <c r="Q52" s="218">
        <f t="shared" si="30"/>
        <v>17</v>
      </c>
      <c r="R52" s="1022">
        <f>Paramètres!EJ43</f>
        <v>0</v>
      </c>
      <c r="S52" s="1022">
        <f>Paramètres!EK43</f>
        <v>17</v>
      </c>
      <c r="T52" s="156">
        <f>V52-U52</f>
        <v>35</v>
      </c>
      <c r="U52" s="1022">
        <f>Paramètres!EM43</f>
        <v>0</v>
      </c>
      <c r="V52" s="875">
        <f>Paramètres!EN43</f>
        <v>35</v>
      </c>
      <c r="W52" s="2808">
        <f t="shared" si="32"/>
        <v>34</v>
      </c>
      <c r="X52" s="1022">
        <f>Paramètres!EG65</f>
        <v>0</v>
      </c>
      <c r="Y52" s="1022">
        <f>Paramètres!EH65</f>
        <v>34</v>
      </c>
      <c r="Z52" s="218">
        <f t="shared" si="33"/>
        <v>18</v>
      </c>
      <c r="AA52" s="1022">
        <f>Paramètres!EJ65</f>
        <v>0</v>
      </c>
      <c r="AB52" s="1022">
        <f>Paramètres!EK65</f>
        <v>18</v>
      </c>
      <c r="AC52" s="156">
        <f>AE52-AD52</f>
        <v>36</v>
      </c>
      <c r="AD52" s="1022">
        <f>Paramètres!EM65</f>
        <v>0</v>
      </c>
      <c r="AE52" s="1054">
        <f>Paramètres!EN65</f>
        <v>36</v>
      </c>
    </row>
    <row r="53" spans="1:31" ht="13.5" thickTop="1" x14ac:dyDescent="0.2">
      <c r="A53" s="2854" t="s">
        <v>2353</v>
      </c>
      <c r="B53" s="1077"/>
      <c r="C53" s="1077"/>
      <c r="D53" s="1080"/>
      <c r="E53" s="2825"/>
      <c r="F53" s="2825"/>
      <c r="G53" s="2825"/>
      <c r="H53" s="2831"/>
      <c r="I53" s="2825"/>
      <c r="J53" s="2825"/>
      <c r="K53" s="2832"/>
      <c r="L53" s="2825"/>
      <c r="M53" s="2827"/>
      <c r="N53" s="2808">
        <f t="shared" si="29"/>
        <v>18</v>
      </c>
      <c r="O53" s="875">
        <f>Paramètres!EG89</f>
        <v>42</v>
      </c>
      <c r="P53" s="875">
        <f>Paramètres!EH89</f>
        <v>60</v>
      </c>
      <c r="Q53" s="116">
        <f t="shared" si="30"/>
        <v>11</v>
      </c>
      <c r="R53" s="875">
        <f>Paramètres!EJ89</f>
        <v>14</v>
      </c>
      <c r="S53" s="875">
        <f>Paramètres!EK89</f>
        <v>25</v>
      </c>
      <c r="T53" s="2808">
        <f>V53-U53</f>
        <v>32</v>
      </c>
      <c r="U53" s="875">
        <f>Paramètres!EM89</f>
        <v>54</v>
      </c>
      <c r="V53" s="2817">
        <f>Paramètres!EN89</f>
        <v>86</v>
      </c>
      <c r="W53" s="2830"/>
      <c r="X53" s="2825"/>
      <c r="Y53" s="2825"/>
      <c r="Z53" s="2826"/>
      <c r="AA53" s="2825"/>
      <c r="AB53" s="2825"/>
      <c r="AC53" s="2825"/>
      <c r="AD53" s="2825"/>
      <c r="AE53" s="2827"/>
    </row>
    <row r="54" spans="1:31" ht="13.5" thickBot="1" x14ac:dyDescent="0.25">
      <c r="A54" s="2853" t="s">
        <v>2354</v>
      </c>
      <c r="B54" s="2845"/>
      <c r="C54" s="2845"/>
      <c r="D54" s="685"/>
      <c r="E54" s="2828"/>
      <c r="F54" s="2828"/>
      <c r="G54" s="2828"/>
      <c r="H54" s="2833"/>
      <c r="I54" s="2828"/>
      <c r="J54" s="2828"/>
      <c r="K54" s="2834"/>
      <c r="L54" s="2828"/>
      <c r="M54" s="2823"/>
      <c r="N54" s="75">
        <f t="shared" si="29"/>
        <v>18</v>
      </c>
      <c r="O54" s="894">
        <f>Paramètres!EG90</f>
        <v>42</v>
      </c>
      <c r="P54" s="894">
        <f>Paramètres!EH90</f>
        <v>60</v>
      </c>
      <c r="Q54" s="281">
        <f t="shared" si="30"/>
        <v>11</v>
      </c>
      <c r="R54" s="894">
        <f>Paramètres!EJ90</f>
        <v>14</v>
      </c>
      <c r="S54" s="894">
        <f>Paramètres!EK90</f>
        <v>25</v>
      </c>
      <c r="T54" s="75">
        <f>V54-U54</f>
        <v>32</v>
      </c>
      <c r="U54" s="894">
        <f>Paramètres!EM90</f>
        <v>54</v>
      </c>
      <c r="V54" s="1072">
        <f>Paramètres!EN90</f>
        <v>86</v>
      </c>
      <c r="W54" s="2824"/>
      <c r="X54" s="2828"/>
      <c r="Y54" s="2828"/>
      <c r="Z54" s="2829"/>
      <c r="AA54" s="2828"/>
      <c r="AB54" s="2828"/>
      <c r="AC54" s="2828"/>
      <c r="AD54" s="2828"/>
      <c r="AE54" s="2823"/>
    </row>
    <row r="55" spans="1:31" ht="13.5" thickTop="1" x14ac:dyDescent="0.2">
      <c r="A55" s="80" t="s">
        <v>390</v>
      </c>
      <c r="B55" s="53"/>
      <c r="C55" s="53"/>
      <c r="D55" s="158"/>
      <c r="E55" s="159"/>
      <c r="F55" s="160"/>
      <c r="G55" s="161"/>
      <c r="H55" s="584"/>
      <c r="I55" s="161"/>
      <c r="J55" s="585"/>
      <c r="K55" s="161"/>
      <c r="L55" s="161"/>
      <c r="M55" s="114"/>
      <c r="N55" s="159"/>
      <c r="O55" s="160"/>
      <c r="P55" s="161"/>
      <c r="Q55" s="584"/>
      <c r="R55" s="161"/>
      <c r="S55" s="585"/>
      <c r="T55" s="161"/>
      <c r="U55" s="161"/>
      <c r="V55" s="114"/>
      <c r="W55" s="159"/>
      <c r="X55" s="160"/>
      <c r="Y55" s="161"/>
      <c r="Z55" s="584"/>
      <c r="AA55" s="161"/>
      <c r="AB55" s="585"/>
      <c r="AC55" s="161"/>
      <c r="AD55" s="161"/>
      <c r="AE55" s="114"/>
    </row>
    <row r="56" spans="1:31" x14ac:dyDescent="0.2">
      <c r="A56" s="94" t="s">
        <v>388</v>
      </c>
      <c r="B56" s="46"/>
      <c r="C56" s="46"/>
      <c r="D56" s="1043" t="s">
        <v>386</v>
      </c>
      <c r="E56" s="163"/>
      <c r="F56" s="164"/>
      <c r="G56" s="164"/>
      <c r="H56" s="549"/>
      <c r="I56" s="165"/>
      <c r="J56" s="659"/>
      <c r="K56" s="165"/>
      <c r="L56" s="165"/>
      <c r="M56" s="144"/>
      <c r="N56" s="903">
        <f t="shared" ref="N56:N61" si="38">P56-O56</f>
        <v>5.3</v>
      </c>
      <c r="O56" s="890">
        <f>Paramètres!EG72</f>
        <v>0</v>
      </c>
      <c r="P56" s="890">
        <f>Paramètres!EH72</f>
        <v>5.3</v>
      </c>
      <c r="Q56" s="905">
        <f t="shared" ref="Q56:Q61" si="39">S56-R56</f>
        <v>3.2</v>
      </c>
      <c r="R56" s="897">
        <f>Paramètres!EJ72</f>
        <v>0</v>
      </c>
      <c r="S56" s="891">
        <f>Paramètres!EK72</f>
        <v>3.2</v>
      </c>
      <c r="T56" s="187">
        <f t="shared" ref="T56:T61" si="40">V56-U56</f>
        <v>5.5</v>
      </c>
      <c r="U56" s="897">
        <f>Paramètres!EM72</f>
        <v>0</v>
      </c>
      <c r="V56" s="1036">
        <f>Paramètres!EN72</f>
        <v>5.5</v>
      </c>
      <c r="W56" s="163"/>
      <c r="X56" s="164"/>
      <c r="Y56" s="164"/>
      <c r="Z56" s="549"/>
      <c r="AA56" s="165"/>
      <c r="AB56" s="659"/>
      <c r="AC56" s="165"/>
      <c r="AD56" s="165"/>
      <c r="AE56" s="144"/>
    </row>
    <row r="57" spans="1:31" x14ac:dyDescent="0.2">
      <c r="A57" s="61"/>
      <c r="B57" s="46"/>
      <c r="C57" s="46"/>
      <c r="D57" s="1043" t="s">
        <v>387</v>
      </c>
      <c r="E57" s="163"/>
      <c r="F57" s="164"/>
      <c r="G57" s="164"/>
      <c r="H57" s="549"/>
      <c r="I57" s="165"/>
      <c r="J57" s="659"/>
      <c r="K57" s="165"/>
      <c r="L57" s="165"/>
      <c r="M57" s="144"/>
      <c r="N57" s="903">
        <f t="shared" si="38"/>
        <v>6.6</v>
      </c>
      <c r="O57" s="890">
        <f>Paramètres!EG73</f>
        <v>0</v>
      </c>
      <c r="P57" s="890">
        <f>Paramètres!EH73</f>
        <v>6.6</v>
      </c>
      <c r="Q57" s="905">
        <f t="shared" si="39"/>
        <v>3</v>
      </c>
      <c r="R57" s="897">
        <f>Paramètres!EJ73</f>
        <v>0</v>
      </c>
      <c r="S57" s="891">
        <f>Paramètres!EK73</f>
        <v>3</v>
      </c>
      <c r="T57" s="187">
        <f t="shared" si="40"/>
        <v>7.3</v>
      </c>
      <c r="U57" s="897">
        <f>Paramètres!EM73</f>
        <v>0</v>
      </c>
      <c r="V57" s="1036">
        <f>Paramètres!EN73</f>
        <v>7.3</v>
      </c>
      <c r="W57" s="163"/>
      <c r="X57" s="164"/>
      <c r="Y57" s="164"/>
      <c r="Z57" s="549"/>
      <c r="AA57" s="165"/>
      <c r="AB57" s="659"/>
      <c r="AC57" s="165"/>
      <c r="AD57" s="165"/>
      <c r="AE57" s="144"/>
    </row>
    <row r="58" spans="1:31" x14ac:dyDescent="0.2">
      <c r="A58" s="61"/>
      <c r="B58" s="46"/>
      <c r="C58" s="46"/>
      <c r="D58" s="1043" t="s">
        <v>255</v>
      </c>
      <c r="E58" s="163"/>
      <c r="F58" s="164"/>
      <c r="G58" s="164"/>
      <c r="H58" s="549"/>
      <c r="I58" s="165"/>
      <c r="J58" s="659"/>
      <c r="K58" s="165"/>
      <c r="L58" s="165"/>
      <c r="M58" s="144"/>
      <c r="N58" s="903">
        <f t="shared" si="38"/>
        <v>0</v>
      </c>
      <c r="O58" s="186">
        <f>P58</f>
        <v>9</v>
      </c>
      <c r="P58" s="890">
        <f>Paramètres!EH74</f>
        <v>9</v>
      </c>
      <c r="Q58" s="905">
        <f t="shared" si="39"/>
        <v>0</v>
      </c>
      <c r="R58" s="187">
        <f>S58</f>
        <v>3.33</v>
      </c>
      <c r="S58" s="891">
        <f>Paramètres!EK74</f>
        <v>3.33</v>
      </c>
      <c r="T58" s="187">
        <f t="shared" si="40"/>
        <v>0</v>
      </c>
      <c r="U58" s="187">
        <f>V58</f>
        <v>9.3000000000000007</v>
      </c>
      <c r="V58" s="1036">
        <f>Paramètres!EN74</f>
        <v>9.3000000000000007</v>
      </c>
      <c r="W58" s="163"/>
      <c r="X58" s="164"/>
      <c r="Y58" s="164"/>
      <c r="Z58" s="549"/>
      <c r="AA58" s="165"/>
      <c r="AB58" s="659"/>
      <c r="AC58" s="165"/>
      <c r="AD58" s="165"/>
      <c r="AE58" s="144"/>
    </row>
    <row r="59" spans="1:31" x14ac:dyDescent="0.2">
      <c r="A59" s="717" t="s">
        <v>389</v>
      </c>
      <c r="B59" s="227"/>
      <c r="C59" s="227"/>
      <c r="D59" s="1044" t="s">
        <v>386</v>
      </c>
      <c r="E59" s="719"/>
      <c r="F59" s="720"/>
      <c r="G59" s="720"/>
      <c r="H59" s="546"/>
      <c r="I59" s="547"/>
      <c r="J59" s="721"/>
      <c r="K59" s="547"/>
      <c r="L59" s="547"/>
      <c r="M59" s="722"/>
      <c r="N59" s="898">
        <f t="shared" si="38"/>
        <v>5</v>
      </c>
      <c r="O59" s="888">
        <f>Paramètres!EG75</f>
        <v>0</v>
      </c>
      <c r="P59" s="888">
        <f>Paramètres!EH75</f>
        <v>5</v>
      </c>
      <c r="Q59" s="900">
        <f t="shared" si="39"/>
        <v>2.25</v>
      </c>
      <c r="R59" s="896">
        <f>Paramètres!EJ75</f>
        <v>0</v>
      </c>
      <c r="S59" s="1033">
        <f>Paramètres!EK75</f>
        <v>2.25</v>
      </c>
      <c r="T59" s="901">
        <f t="shared" si="40"/>
        <v>6</v>
      </c>
      <c r="U59" s="896">
        <f>Paramètres!EM75</f>
        <v>0</v>
      </c>
      <c r="V59" s="907">
        <f>Paramètres!EN75</f>
        <v>6</v>
      </c>
      <c r="W59" s="719"/>
      <c r="X59" s="720"/>
      <c r="Y59" s="720"/>
      <c r="Z59" s="546"/>
      <c r="AA59" s="547"/>
      <c r="AB59" s="721"/>
      <c r="AC59" s="547"/>
      <c r="AD59" s="547"/>
      <c r="AE59" s="722"/>
    </row>
    <row r="60" spans="1:31" x14ac:dyDescent="0.2">
      <c r="A60" s="61"/>
      <c r="B60" s="46"/>
      <c r="C60" s="46"/>
      <c r="D60" s="1045" t="s">
        <v>387</v>
      </c>
      <c r="E60" s="163"/>
      <c r="F60" s="164"/>
      <c r="G60" s="164"/>
      <c r="H60" s="549"/>
      <c r="I60" s="165"/>
      <c r="J60" s="659"/>
      <c r="K60" s="165"/>
      <c r="L60" s="165"/>
      <c r="M60" s="144"/>
      <c r="N60" s="903">
        <f t="shared" si="38"/>
        <v>7</v>
      </c>
      <c r="O60" s="890">
        <f>Paramètres!EG76</f>
        <v>0</v>
      </c>
      <c r="P60" s="890">
        <f>Paramètres!EH76</f>
        <v>7</v>
      </c>
      <c r="Q60" s="905">
        <f t="shared" si="39"/>
        <v>2.7</v>
      </c>
      <c r="R60" s="897">
        <f>Paramètres!EJ76</f>
        <v>0</v>
      </c>
      <c r="S60" s="1034">
        <f>Paramètres!EK76</f>
        <v>2.7</v>
      </c>
      <c r="T60" s="187">
        <f t="shared" si="40"/>
        <v>9.3000000000000007</v>
      </c>
      <c r="U60" s="897">
        <f>Paramètres!EM76</f>
        <v>0</v>
      </c>
      <c r="V60" s="908">
        <f>Paramètres!EN76</f>
        <v>9.3000000000000007</v>
      </c>
      <c r="W60" s="163"/>
      <c r="X60" s="164"/>
      <c r="Y60" s="164"/>
      <c r="Z60" s="549"/>
      <c r="AA60" s="165"/>
      <c r="AB60" s="659"/>
      <c r="AC60" s="165"/>
      <c r="AD60" s="165"/>
      <c r="AE60" s="144"/>
    </row>
    <row r="61" spans="1:31" ht="13.5" thickBot="1" x14ac:dyDescent="0.25">
      <c r="A61" s="716"/>
      <c r="B61" s="73"/>
      <c r="C61" s="73"/>
      <c r="D61" s="1046" t="s">
        <v>255</v>
      </c>
      <c r="E61" s="724"/>
      <c r="F61" s="580"/>
      <c r="G61" s="580"/>
      <c r="H61" s="725"/>
      <c r="I61" s="581"/>
      <c r="J61" s="664"/>
      <c r="K61" s="581"/>
      <c r="L61" s="581"/>
      <c r="M61" s="582"/>
      <c r="N61" s="1027">
        <f t="shared" si="38"/>
        <v>0</v>
      </c>
      <c r="O61" s="1028">
        <f>P61</f>
        <v>9</v>
      </c>
      <c r="P61" s="1032">
        <f>Paramètres!EH77</f>
        <v>9</v>
      </c>
      <c r="Q61" s="1030">
        <f t="shared" si="39"/>
        <v>0</v>
      </c>
      <c r="R61" s="1028">
        <f>S61</f>
        <v>3.25</v>
      </c>
      <c r="S61" s="1035">
        <f>Paramètres!EK77</f>
        <v>3.25</v>
      </c>
      <c r="T61" s="1028">
        <f t="shared" si="40"/>
        <v>0</v>
      </c>
      <c r="U61" s="1028">
        <f>V61</f>
        <v>12</v>
      </c>
      <c r="V61" s="1037">
        <f>Paramètres!EN77</f>
        <v>12</v>
      </c>
      <c r="W61" s="724"/>
      <c r="X61" s="580"/>
      <c r="Y61" s="580"/>
      <c r="Z61" s="725"/>
      <c r="AA61" s="581"/>
      <c r="AB61" s="664"/>
      <c r="AC61" s="581"/>
      <c r="AD61" s="581"/>
      <c r="AE61" s="582"/>
    </row>
    <row r="62" spans="1:31" ht="5.0999999999999996" customHeight="1" thickTop="1" x14ac:dyDescent="0.2"/>
    <row r="63" spans="1:31" ht="12.75" customHeight="1" thickBot="1" x14ac:dyDescent="0.25">
      <c r="A63" s="723" t="s">
        <v>285</v>
      </c>
    </row>
    <row r="64" spans="1:31" ht="13.5" thickTop="1" x14ac:dyDescent="0.2">
      <c r="A64" s="80"/>
      <c r="B64" s="53"/>
      <c r="C64" s="53"/>
      <c r="D64" s="158"/>
      <c r="E64" s="3435" t="s">
        <v>346</v>
      </c>
      <c r="F64" s="3436"/>
      <c r="G64" s="3436"/>
      <c r="H64" s="3436"/>
      <c r="I64" s="3436"/>
      <c r="J64" s="3436"/>
      <c r="K64" s="3436"/>
      <c r="L64" s="3436"/>
      <c r="M64" s="3437"/>
      <c r="N64" s="3435" t="s">
        <v>347</v>
      </c>
      <c r="O64" s="3436"/>
      <c r="P64" s="3436"/>
      <c r="Q64" s="3436"/>
      <c r="R64" s="3436"/>
      <c r="S64" s="3436"/>
      <c r="T64" s="3436"/>
      <c r="U64" s="3436"/>
      <c r="V64" s="3437"/>
      <c r="W64" s="3435" t="s">
        <v>348</v>
      </c>
      <c r="X64" s="3436"/>
      <c r="Y64" s="3436"/>
      <c r="Z64" s="3436"/>
      <c r="AA64" s="3436"/>
      <c r="AB64" s="3436"/>
      <c r="AC64" s="3436"/>
      <c r="AD64" s="3436"/>
      <c r="AE64" s="3437"/>
    </row>
    <row r="65" spans="1:34" x14ac:dyDescent="0.2">
      <c r="A65" s="61"/>
      <c r="B65" s="46"/>
      <c r="C65" s="46"/>
      <c r="D65" s="356"/>
      <c r="E65" s="3441" t="s">
        <v>256</v>
      </c>
      <c r="F65" s="3430"/>
      <c r="G65" s="3430"/>
      <c r="H65" s="3429" t="s">
        <v>257</v>
      </c>
      <c r="I65" s="3430"/>
      <c r="J65" s="3431"/>
      <c r="K65" s="3430" t="s">
        <v>756</v>
      </c>
      <c r="L65" s="3430"/>
      <c r="M65" s="3434"/>
      <c r="N65" s="3441" t="s">
        <v>256</v>
      </c>
      <c r="O65" s="3430"/>
      <c r="P65" s="3430"/>
      <c r="Q65" s="3429" t="s">
        <v>257</v>
      </c>
      <c r="R65" s="3430"/>
      <c r="S65" s="3431"/>
      <c r="T65" s="3430" t="s">
        <v>756</v>
      </c>
      <c r="U65" s="3430"/>
      <c r="V65" s="3434"/>
      <c r="W65" s="3441" t="s">
        <v>256</v>
      </c>
      <c r="X65" s="3430"/>
      <c r="Y65" s="3430"/>
      <c r="Z65" s="3429" t="s">
        <v>257</v>
      </c>
      <c r="AA65" s="3430"/>
      <c r="AB65" s="3431"/>
      <c r="AC65" s="3430" t="s">
        <v>756</v>
      </c>
      <c r="AD65" s="3430"/>
      <c r="AE65" s="3434"/>
    </row>
    <row r="66" spans="1:34" x14ac:dyDescent="0.2">
      <c r="A66" s="125"/>
      <c r="B66" s="50" t="s">
        <v>353</v>
      </c>
      <c r="C66" s="50" t="s">
        <v>381</v>
      </c>
      <c r="D66" s="107" t="s">
        <v>384</v>
      </c>
      <c r="E66" s="108" t="s">
        <v>249</v>
      </c>
      <c r="F66" s="36" t="s">
        <v>247</v>
      </c>
      <c r="G66" s="36"/>
      <c r="H66" s="35" t="s">
        <v>249</v>
      </c>
      <c r="I66" s="36" t="s">
        <v>247</v>
      </c>
      <c r="J66" s="37"/>
      <c r="K66" s="36" t="s">
        <v>249</v>
      </c>
      <c r="L66" s="36" t="s">
        <v>247</v>
      </c>
      <c r="M66" s="109"/>
      <c r="N66" s="110" t="s">
        <v>249</v>
      </c>
      <c r="O66" s="36" t="s">
        <v>247</v>
      </c>
      <c r="P66" s="36"/>
      <c r="Q66" s="35" t="s">
        <v>249</v>
      </c>
      <c r="R66" s="36" t="s">
        <v>247</v>
      </c>
      <c r="S66" s="37"/>
      <c r="T66" s="36" t="s">
        <v>249</v>
      </c>
      <c r="U66" s="36" t="s">
        <v>247</v>
      </c>
      <c r="V66" s="109"/>
      <c r="W66" s="110" t="s">
        <v>249</v>
      </c>
      <c r="X66" s="36" t="s">
        <v>247</v>
      </c>
      <c r="Y66" s="36"/>
      <c r="Z66" s="35" t="s">
        <v>249</v>
      </c>
      <c r="AA66" s="36" t="s">
        <v>247</v>
      </c>
      <c r="AB66" s="37"/>
      <c r="AC66" s="36" t="s">
        <v>249</v>
      </c>
      <c r="AD66" s="36" t="s">
        <v>247</v>
      </c>
      <c r="AE66" s="109"/>
    </row>
    <row r="67" spans="1:34" ht="13.5" thickBot="1" x14ac:dyDescent="0.25">
      <c r="A67" s="462"/>
      <c r="B67" s="76" t="s">
        <v>354</v>
      </c>
      <c r="C67" s="76" t="s">
        <v>382</v>
      </c>
      <c r="D67" s="111" t="s">
        <v>385</v>
      </c>
      <c r="E67" s="36" t="s">
        <v>248</v>
      </c>
      <c r="F67" s="36" t="s">
        <v>246</v>
      </c>
      <c r="G67" s="36" t="s">
        <v>244</v>
      </c>
      <c r="H67" s="35" t="s">
        <v>248</v>
      </c>
      <c r="I67" s="36" t="s">
        <v>246</v>
      </c>
      <c r="J67" s="37" t="s">
        <v>244</v>
      </c>
      <c r="K67" s="36" t="s">
        <v>248</v>
      </c>
      <c r="L67" s="36" t="s">
        <v>246</v>
      </c>
      <c r="M67" s="109" t="s">
        <v>244</v>
      </c>
      <c r="N67" s="112" t="s">
        <v>248</v>
      </c>
      <c r="O67" s="39" t="s">
        <v>246</v>
      </c>
      <c r="P67" s="39" t="s">
        <v>244</v>
      </c>
      <c r="Q67" s="38" t="s">
        <v>248</v>
      </c>
      <c r="R67" s="39" t="s">
        <v>246</v>
      </c>
      <c r="S67" s="40" t="s">
        <v>244</v>
      </c>
      <c r="T67" s="39" t="s">
        <v>248</v>
      </c>
      <c r="U67" s="39" t="s">
        <v>246</v>
      </c>
      <c r="V67" s="113" t="s">
        <v>244</v>
      </c>
      <c r="W67" s="112" t="s">
        <v>248</v>
      </c>
      <c r="X67" s="39" t="s">
        <v>246</v>
      </c>
      <c r="Y67" s="39" t="s">
        <v>244</v>
      </c>
      <c r="Z67" s="38" t="s">
        <v>248</v>
      </c>
      <c r="AA67" s="39" t="s">
        <v>246</v>
      </c>
      <c r="AB67" s="40" t="s">
        <v>244</v>
      </c>
      <c r="AC67" s="39" t="s">
        <v>248</v>
      </c>
      <c r="AD67" s="39" t="s">
        <v>246</v>
      </c>
      <c r="AE67" s="113" t="s">
        <v>244</v>
      </c>
      <c r="AF67" s="171" t="s">
        <v>391</v>
      </c>
      <c r="AG67" s="172"/>
      <c r="AH67" s="172"/>
    </row>
    <row r="68" spans="1:34" ht="13.5" thickTop="1" x14ac:dyDescent="0.2">
      <c r="A68" s="1639" t="s">
        <v>380</v>
      </c>
      <c r="B68" s="55">
        <v>1</v>
      </c>
      <c r="C68" s="56"/>
      <c r="D68" s="114"/>
      <c r="E68" s="105">
        <f t="shared" ref="E68:E75" si="41">G68-F68</f>
        <v>17</v>
      </c>
      <c r="F68" s="55">
        <f t="shared" ref="F68:G75" si="42">F35*F$76*$AF68</f>
        <v>10</v>
      </c>
      <c r="G68" s="115">
        <f t="shared" si="42"/>
        <v>27</v>
      </c>
      <c r="H68" s="210">
        <f t="shared" ref="H68:H75" si="43">J68-I68</f>
        <v>4.5</v>
      </c>
      <c r="I68" s="118">
        <f t="shared" ref="I68:J75" si="44">I35*I$76*$AF68</f>
        <v>3.5</v>
      </c>
      <c r="J68" s="211">
        <f t="shared" si="44"/>
        <v>8</v>
      </c>
      <c r="K68" s="118">
        <f t="shared" ref="K68:K75" si="45">M68-L68</f>
        <v>12</v>
      </c>
      <c r="L68" s="118">
        <f t="shared" ref="L68:M75" si="46">L35*L$76*$AF68</f>
        <v>26</v>
      </c>
      <c r="M68" s="119">
        <f t="shared" si="46"/>
        <v>38</v>
      </c>
      <c r="N68" s="105">
        <f>P68-O68</f>
        <v>0</v>
      </c>
      <c r="O68" s="55">
        <f t="shared" ref="O68:P75" si="47">O35*O$76*$AF68</f>
        <v>0</v>
      </c>
      <c r="P68" s="115">
        <f t="shared" si="47"/>
        <v>0</v>
      </c>
      <c r="Q68" s="210">
        <f>S68-R68</f>
        <v>0</v>
      </c>
      <c r="R68" s="118">
        <f t="shared" ref="R68:S75" si="48">R35*R$76*$AF68</f>
        <v>0</v>
      </c>
      <c r="S68" s="211">
        <f t="shared" si="48"/>
        <v>0</v>
      </c>
      <c r="T68" s="118">
        <f>V68-U68</f>
        <v>0</v>
      </c>
      <c r="U68" s="118">
        <f t="shared" ref="U68:V75" si="49">U35*U$76*$AF68</f>
        <v>0</v>
      </c>
      <c r="V68" s="119">
        <f t="shared" si="49"/>
        <v>0</v>
      </c>
      <c r="W68" s="105">
        <f>Y68-X68</f>
        <v>0</v>
      </c>
      <c r="X68" s="55">
        <f t="shared" ref="X68:Y75" si="50">X35*X$76*$AF68</f>
        <v>0</v>
      </c>
      <c r="Y68" s="115">
        <f t="shared" si="50"/>
        <v>0</v>
      </c>
      <c r="Z68" s="210">
        <f>AB68-AA68</f>
        <v>0</v>
      </c>
      <c r="AA68" s="118">
        <f t="shared" ref="AA68:AB75" si="51">AA35*AA$76*$AF68</f>
        <v>0</v>
      </c>
      <c r="AB68" s="211">
        <f t="shared" si="51"/>
        <v>0</v>
      </c>
      <c r="AC68" s="118">
        <f>AE68-AD68</f>
        <v>0</v>
      </c>
      <c r="AD68" s="118">
        <f t="shared" ref="AD68:AE75" si="52">AD35*AD$76*$AF68</f>
        <v>0</v>
      </c>
      <c r="AE68" s="119">
        <f t="shared" si="52"/>
        <v>0</v>
      </c>
      <c r="AF68" s="173">
        <f>IF(EN_NbMalAn1A&gt;0,1,0)</f>
        <v>1</v>
      </c>
    </row>
    <row r="69" spans="1:34" x14ac:dyDescent="0.2">
      <c r="A69" s="1640" t="s">
        <v>1341</v>
      </c>
      <c r="B69" s="34">
        <v>2</v>
      </c>
      <c r="C69" s="63"/>
      <c r="D69" s="121"/>
      <c r="E69" s="106">
        <f t="shared" si="41"/>
        <v>0</v>
      </c>
      <c r="F69" s="34">
        <f t="shared" si="42"/>
        <v>0</v>
      </c>
      <c r="G69" s="34">
        <f t="shared" si="42"/>
        <v>0</v>
      </c>
      <c r="H69" s="660">
        <f t="shared" si="43"/>
        <v>0</v>
      </c>
      <c r="I69" s="122">
        <f t="shared" si="44"/>
        <v>0</v>
      </c>
      <c r="J69" s="536">
        <f t="shared" si="44"/>
        <v>0</v>
      </c>
      <c r="K69" s="122">
        <f t="shared" si="45"/>
        <v>0</v>
      </c>
      <c r="L69" s="122">
        <f t="shared" si="46"/>
        <v>0</v>
      </c>
      <c r="M69" s="123">
        <f t="shared" si="46"/>
        <v>0</v>
      </c>
      <c r="N69" s="106">
        <f t="shared" ref="N69:N75" si="53">P69-O69</f>
        <v>0</v>
      </c>
      <c r="O69" s="34">
        <f t="shared" si="47"/>
        <v>0</v>
      </c>
      <c r="P69" s="34">
        <f t="shared" si="47"/>
        <v>0</v>
      </c>
      <c r="Q69" s="660">
        <f t="shared" ref="Q69:Q75" si="54">S69-R69</f>
        <v>0</v>
      </c>
      <c r="R69" s="122">
        <f t="shared" si="48"/>
        <v>0</v>
      </c>
      <c r="S69" s="536">
        <f t="shared" si="48"/>
        <v>0</v>
      </c>
      <c r="T69" s="122">
        <f t="shared" ref="T69:T75" si="55">V69-U69</f>
        <v>0</v>
      </c>
      <c r="U69" s="122">
        <f t="shared" si="49"/>
        <v>0</v>
      </c>
      <c r="V69" s="123">
        <f t="shared" si="49"/>
        <v>0</v>
      </c>
      <c r="W69" s="106">
        <f t="shared" ref="W69:W75" si="56">Y69-X69</f>
        <v>0</v>
      </c>
      <c r="X69" s="34">
        <f t="shared" si="50"/>
        <v>0</v>
      </c>
      <c r="Y69" s="34">
        <f t="shared" si="50"/>
        <v>0</v>
      </c>
      <c r="Z69" s="660">
        <f t="shared" ref="Z69:Z75" si="57">AB69-AA69</f>
        <v>0</v>
      </c>
      <c r="AA69" s="122">
        <f t="shared" si="51"/>
        <v>0</v>
      </c>
      <c r="AB69" s="536">
        <f t="shared" si="51"/>
        <v>0</v>
      </c>
      <c r="AC69" s="122">
        <f t="shared" ref="AC69:AC75" si="58">AE69-AD69</f>
        <v>0</v>
      </c>
      <c r="AD69" s="122">
        <f t="shared" si="52"/>
        <v>0</v>
      </c>
      <c r="AE69" s="123">
        <f t="shared" si="52"/>
        <v>0</v>
      </c>
      <c r="AF69" s="173">
        <f>IF(Saisies_Exploitation!E79&gt;0,1,0)</f>
        <v>0</v>
      </c>
    </row>
    <row r="70" spans="1:34" x14ac:dyDescent="0.2">
      <c r="A70" s="1640" t="s">
        <v>1342</v>
      </c>
      <c r="B70" s="68">
        <v>3</v>
      </c>
      <c r="C70" s="51">
        <v>28</v>
      </c>
      <c r="D70" s="124" t="s">
        <v>183</v>
      </c>
      <c r="E70" s="125">
        <f t="shared" si="41"/>
        <v>0</v>
      </c>
      <c r="F70" s="68">
        <f t="shared" si="42"/>
        <v>0</v>
      </c>
      <c r="G70" s="68">
        <f t="shared" si="42"/>
        <v>0</v>
      </c>
      <c r="H70" s="204">
        <f t="shared" si="43"/>
        <v>0</v>
      </c>
      <c r="I70" s="128">
        <f t="shared" si="44"/>
        <v>0</v>
      </c>
      <c r="J70" s="205">
        <f t="shared" si="44"/>
        <v>0</v>
      </c>
      <c r="K70" s="128">
        <f t="shared" si="45"/>
        <v>0</v>
      </c>
      <c r="L70" s="128">
        <f t="shared" si="46"/>
        <v>0</v>
      </c>
      <c r="M70" s="129">
        <f t="shared" si="46"/>
        <v>0</v>
      </c>
      <c r="N70" s="125">
        <f t="shared" si="53"/>
        <v>0</v>
      </c>
      <c r="O70" s="68">
        <f t="shared" si="47"/>
        <v>0</v>
      </c>
      <c r="P70" s="68">
        <f t="shared" si="47"/>
        <v>0</v>
      </c>
      <c r="Q70" s="204">
        <f t="shared" si="54"/>
        <v>0</v>
      </c>
      <c r="R70" s="128">
        <f t="shared" si="48"/>
        <v>0</v>
      </c>
      <c r="S70" s="205">
        <f t="shared" si="48"/>
        <v>0</v>
      </c>
      <c r="T70" s="128">
        <f t="shared" si="55"/>
        <v>0</v>
      </c>
      <c r="U70" s="128">
        <f t="shared" si="49"/>
        <v>0</v>
      </c>
      <c r="V70" s="129">
        <f t="shared" si="49"/>
        <v>0</v>
      </c>
      <c r="W70" s="125">
        <f t="shared" si="56"/>
        <v>0</v>
      </c>
      <c r="X70" s="68">
        <f t="shared" si="50"/>
        <v>0</v>
      </c>
      <c r="Y70" s="68">
        <f t="shared" si="50"/>
        <v>0</v>
      </c>
      <c r="Z70" s="204">
        <f t="shared" si="57"/>
        <v>0</v>
      </c>
      <c r="AA70" s="128">
        <f t="shared" si="51"/>
        <v>0</v>
      </c>
      <c r="AB70" s="205">
        <f t="shared" si="51"/>
        <v>0</v>
      </c>
      <c r="AC70" s="128">
        <f t="shared" si="58"/>
        <v>0</v>
      </c>
      <c r="AD70" s="128">
        <f t="shared" si="52"/>
        <v>0</v>
      </c>
      <c r="AE70" s="129">
        <f t="shared" si="52"/>
        <v>0</v>
      </c>
      <c r="AF70" s="173">
        <f>IF(AND(Saisies_Exploitation!E84&gt;0,AEN_MalMaHe=1),1,0)</f>
        <v>0</v>
      </c>
    </row>
    <row r="71" spans="1:34" x14ac:dyDescent="0.2">
      <c r="A71" s="120"/>
      <c r="B71" s="68"/>
      <c r="C71" s="51"/>
      <c r="D71" s="124" t="s">
        <v>163</v>
      </c>
      <c r="E71" s="125">
        <f t="shared" si="41"/>
        <v>0</v>
      </c>
      <c r="F71" s="68">
        <f t="shared" si="42"/>
        <v>0</v>
      </c>
      <c r="G71" s="68">
        <f t="shared" si="42"/>
        <v>0</v>
      </c>
      <c r="H71" s="204">
        <f t="shared" si="43"/>
        <v>0</v>
      </c>
      <c r="I71" s="128">
        <f t="shared" si="44"/>
        <v>0</v>
      </c>
      <c r="J71" s="205">
        <f t="shared" si="44"/>
        <v>0</v>
      </c>
      <c r="K71" s="128">
        <f t="shared" si="45"/>
        <v>0</v>
      </c>
      <c r="L71" s="128">
        <f t="shared" si="46"/>
        <v>0</v>
      </c>
      <c r="M71" s="129">
        <f t="shared" si="46"/>
        <v>0</v>
      </c>
      <c r="N71" s="125">
        <f t="shared" si="53"/>
        <v>0</v>
      </c>
      <c r="O71" s="68">
        <f t="shared" si="47"/>
        <v>0</v>
      </c>
      <c r="P71" s="68">
        <f t="shared" si="47"/>
        <v>0</v>
      </c>
      <c r="Q71" s="204">
        <f t="shared" si="54"/>
        <v>0</v>
      </c>
      <c r="R71" s="128">
        <f t="shared" si="48"/>
        <v>0</v>
      </c>
      <c r="S71" s="205">
        <f t="shared" si="48"/>
        <v>0</v>
      </c>
      <c r="T71" s="128">
        <f t="shared" si="55"/>
        <v>0</v>
      </c>
      <c r="U71" s="128">
        <f t="shared" si="49"/>
        <v>0</v>
      </c>
      <c r="V71" s="129">
        <f t="shared" si="49"/>
        <v>0</v>
      </c>
      <c r="W71" s="125">
        <f t="shared" si="56"/>
        <v>0</v>
      </c>
      <c r="X71" s="68">
        <f t="shared" si="50"/>
        <v>0</v>
      </c>
      <c r="Y71" s="68">
        <f t="shared" si="50"/>
        <v>0</v>
      </c>
      <c r="Z71" s="204">
        <f t="shared" si="57"/>
        <v>0</v>
      </c>
      <c r="AA71" s="128">
        <f t="shared" si="51"/>
        <v>0</v>
      </c>
      <c r="AB71" s="205">
        <f t="shared" si="51"/>
        <v>0</v>
      </c>
      <c r="AC71" s="128">
        <f t="shared" si="58"/>
        <v>0</v>
      </c>
      <c r="AD71" s="128">
        <f t="shared" si="52"/>
        <v>0</v>
      </c>
      <c r="AE71" s="129">
        <f t="shared" si="52"/>
        <v>0</v>
      </c>
      <c r="AF71" s="173">
        <f>IF(AND(Saisies_Exploitation!E84&gt;0,AEN_MalMaHe=2),1,0)</f>
        <v>0</v>
      </c>
    </row>
    <row r="72" spans="1:34" x14ac:dyDescent="0.2">
      <c r="A72" s="120"/>
      <c r="B72" s="68"/>
      <c r="C72" s="130">
        <v>30</v>
      </c>
      <c r="D72" s="131" t="s">
        <v>183</v>
      </c>
      <c r="E72" s="132">
        <f t="shared" si="41"/>
        <v>0</v>
      </c>
      <c r="F72" s="133">
        <f t="shared" si="42"/>
        <v>0</v>
      </c>
      <c r="G72" s="133">
        <f t="shared" si="42"/>
        <v>0</v>
      </c>
      <c r="H72" s="279">
        <f t="shared" si="43"/>
        <v>0</v>
      </c>
      <c r="I72" s="136">
        <f t="shared" si="44"/>
        <v>0</v>
      </c>
      <c r="J72" s="280">
        <f t="shared" si="44"/>
        <v>0</v>
      </c>
      <c r="K72" s="136">
        <f t="shared" si="45"/>
        <v>0</v>
      </c>
      <c r="L72" s="136">
        <f t="shared" si="46"/>
        <v>0</v>
      </c>
      <c r="M72" s="137">
        <f t="shared" si="46"/>
        <v>0</v>
      </c>
      <c r="N72" s="132">
        <f t="shared" si="53"/>
        <v>0</v>
      </c>
      <c r="O72" s="133">
        <f t="shared" si="47"/>
        <v>0</v>
      </c>
      <c r="P72" s="133">
        <f t="shared" si="47"/>
        <v>0</v>
      </c>
      <c r="Q72" s="279">
        <f t="shared" si="54"/>
        <v>0</v>
      </c>
      <c r="R72" s="136">
        <f t="shared" si="48"/>
        <v>0</v>
      </c>
      <c r="S72" s="280">
        <f t="shared" si="48"/>
        <v>0</v>
      </c>
      <c r="T72" s="136">
        <f t="shared" si="55"/>
        <v>0</v>
      </c>
      <c r="U72" s="136">
        <f t="shared" si="49"/>
        <v>0</v>
      </c>
      <c r="V72" s="137">
        <f t="shared" si="49"/>
        <v>0</v>
      </c>
      <c r="W72" s="132">
        <f t="shared" si="56"/>
        <v>0</v>
      </c>
      <c r="X72" s="133">
        <f t="shared" si="50"/>
        <v>0</v>
      </c>
      <c r="Y72" s="133">
        <f t="shared" si="50"/>
        <v>0</v>
      </c>
      <c r="Z72" s="279">
        <f t="shared" si="57"/>
        <v>0</v>
      </c>
      <c r="AA72" s="136">
        <f t="shared" si="51"/>
        <v>0</v>
      </c>
      <c r="AB72" s="280">
        <f t="shared" si="51"/>
        <v>0</v>
      </c>
      <c r="AC72" s="136">
        <f t="shared" si="58"/>
        <v>0</v>
      </c>
      <c r="AD72" s="136">
        <f t="shared" si="52"/>
        <v>0</v>
      </c>
      <c r="AE72" s="137">
        <f t="shared" si="52"/>
        <v>0</v>
      </c>
      <c r="AF72" s="173">
        <f>IF(AND(Saisies_Exploitation!E85&gt;0,AEN_MalMaHe=1),1,0)</f>
        <v>0</v>
      </c>
    </row>
    <row r="73" spans="1:34" x14ac:dyDescent="0.2">
      <c r="A73" s="120"/>
      <c r="B73" s="68"/>
      <c r="C73" s="138"/>
      <c r="D73" s="139" t="s">
        <v>163</v>
      </c>
      <c r="E73" s="140">
        <f t="shared" si="41"/>
        <v>0</v>
      </c>
      <c r="F73" s="141">
        <f t="shared" si="42"/>
        <v>0</v>
      </c>
      <c r="G73" s="141">
        <f t="shared" si="42"/>
        <v>0</v>
      </c>
      <c r="H73" s="661">
        <f t="shared" si="43"/>
        <v>0</v>
      </c>
      <c r="I73" s="142">
        <f t="shared" si="44"/>
        <v>0</v>
      </c>
      <c r="J73" s="658">
        <f t="shared" si="44"/>
        <v>0</v>
      </c>
      <c r="K73" s="142">
        <f t="shared" si="45"/>
        <v>0</v>
      </c>
      <c r="L73" s="142">
        <f t="shared" si="46"/>
        <v>0</v>
      </c>
      <c r="M73" s="143">
        <f t="shared" si="46"/>
        <v>0</v>
      </c>
      <c r="N73" s="140">
        <f t="shared" si="53"/>
        <v>0</v>
      </c>
      <c r="O73" s="141">
        <f t="shared" si="47"/>
        <v>0</v>
      </c>
      <c r="P73" s="141">
        <f t="shared" si="47"/>
        <v>0</v>
      </c>
      <c r="Q73" s="661">
        <f t="shared" si="54"/>
        <v>0</v>
      </c>
      <c r="R73" s="142">
        <f t="shared" si="48"/>
        <v>0</v>
      </c>
      <c r="S73" s="658">
        <f t="shared" si="48"/>
        <v>0</v>
      </c>
      <c r="T73" s="142">
        <f t="shared" si="55"/>
        <v>0</v>
      </c>
      <c r="U73" s="142">
        <f t="shared" si="49"/>
        <v>0</v>
      </c>
      <c r="V73" s="143">
        <f t="shared" si="49"/>
        <v>0</v>
      </c>
      <c r="W73" s="140">
        <f t="shared" si="56"/>
        <v>0</v>
      </c>
      <c r="X73" s="141">
        <f t="shared" si="50"/>
        <v>0</v>
      </c>
      <c r="Y73" s="141">
        <f t="shared" si="50"/>
        <v>0</v>
      </c>
      <c r="Z73" s="661">
        <f t="shared" si="57"/>
        <v>0</v>
      </c>
      <c r="AA73" s="142">
        <f t="shared" si="51"/>
        <v>0</v>
      </c>
      <c r="AB73" s="658">
        <f t="shared" si="51"/>
        <v>0</v>
      </c>
      <c r="AC73" s="142">
        <f t="shared" si="58"/>
        <v>0</v>
      </c>
      <c r="AD73" s="142">
        <f t="shared" si="52"/>
        <v>0</v>
      </c>
      <c r="AE73" s="143">
        <f t="shared" si="52"/>
        <v>0</v>
      </c>
      <c r="AF73" s="173">
        <f>IF(AND(Saisies_Exploitation!E85&gt;0,AEN_MalMaHe=2),1,0)</f>
        <v>0</v>
      </c>
    </row>
    <row r="74" spans="1:34" x14ac:dyDescent="0.2">
      <c r="A74" s="120"/>
      <c r="B74" s="68"/>
      <c r="C74" s="51">
        <v>33</v>
      </c>
      <c r="D74" s="144"/>
      <c r="E74" s="125">
        <f t="shared" si="41"/>
        <v>0</v>
      </c>
      <c r="F74" s="68">
        <f t="shared" si="42"/>
        <v>0</v>
      </c>
      <c r="G74" s="68">
        <f t="shared" si="42"/>
        <v>0</v>
      </c>
      <c r="H74" s="204">
        <f t="shared" si="43"/>
        <v>0</v>
      </c>
      <c r="I74" s="128">
        <f t="shared" si="44"/>
        <v>0</v>
      </c>
      <c r="J74" s="205">
        <f t="shared" si="44"/>
        <v>0</v>
      </c>
      <c r="K74" s="128">
        <f t="shared" si="45"/>
        <v>0</v>
      </c>
      <c r="L74" s="128">
        <f t="shared" si="46"/>
        <v>0</v>
      </c>
      <c r="M74" s="129">
        <f t="shared" si="46"/>
        <v>0</v>
      </c>
      <c r="N74" s="125">
        <f t="shared" si="53"/>
        <v>0</v>
      </c>
      <c r="O74" s="68">
        <f t="shared" si="47"/>
        <v>0</v>
      </c>
      <c r="P74" s="68">
        <f t="shared" si="47"/>
        <v>0</v>
      </c>
      <c r="Q74" s="204">
        <f t="shared" si="54"/>
        <v>0</v>
      </c>
      <c r="R74" s="128">
        <f t="shared" si="48"/>
        <v>0</v>
      </c>
      <c r="S74" s="205">
        <f t="shared" si="48"/>
        <v>0</v>
      </c>
      <c r="T74" s="128">
        <f t="shared" si="55"/>
        <v>0</v>
      </c>
      <c r="U74" s="128">
        <f t="shared" si="49"/>
        <v>0</v>
      </c>
      <c r="V74" s="129">
        <f t="shared" si="49"/>
        <v>0</v>
      </c>
      <c r="W74" s="125">
        <f t="shared" si="56"/>
        <v>0</v>
      </c>
      <c r="X74" s="68">
        <f t="shared" si="50"/>
        <v>0</v>
      </c>
      <c r="Y74" s="68">
        <f t="shared" si="50"/>
        <v>0</v>
      </c>
      <c r="Z74" s="204">
        <f t="shared" si="57"/>
        <v>0</v>
      </c>
      <c r="AA74" s="128">
        <f t="shared" si="51"/>
        <v>0</v>
      </c>
      <c r="AB74" s="205">
        <f t="shared" si="51"/>
        <v>0</v>
      </c>
      <c r="AC74" s="128">
        <f t="shared" si="58"/>
        <v>0</v>
      </c>
      <c r="AD74" s="128">
        <f t="shared" si="52"/>
        <v>0</v>
      </c>
      <c r="AE74" s="129">
        <f t="shared" si="52"/>
        <v>0</v>
      </c>
      <c r="AF74" s="173">
        <f>IF(Saisies_Exploitation!E86&gt;0,1,0)</f>
        <v>0</v>
      </c>
    </row>
    <row r="75" spans="1:34" ht="13.5" thickBot="1" x14ac:dyDescent="0.25">
      <c r="A75" s="120"/>
      <c r="B75" s="68"/>
      <c r="C75" s="130">
        <v>36</v>
      </c>
      <c r="D75" s="145"/>
      <c r="E75" s="132">
        <f t="shared" si="41"/>
        <v>0</v>
      </c>
      <c r="F75" s="133">
        <f t="shared" si="42"/>
        <v>0</v>
      </c>
      <c r="G75" s="133">
        <f t="shared" si="42"/>
        <v>0</v>
      </c>
      <c r="H75" s="279">
        <f t="shared" si="43"/>
        <v>0</v>
      </c>
      <c r="I75" s="136">
        <f t="shared" si="44"/>
        <v>0</v>
      </c>
      <c r="J75" s="280">
        <f t="shared" si="44"/>
        <v>0</v>
      </c>
      <c r="K75" s="136">
        <f t="shared" si="45"/>
        <v>0</v>
      </c>
      <c r="L75" s="136">
        <f t="shared" si="46"/>
        <v>0</v>
      </c>
      <c r="M75" s="137">
        <f t="shared" si="46"/>
        <v>0</v>
      </c>
      <c r="N75" s="132">
        <f t="shared" si="53"/>
        <v>0</v>
      </c>
      <c r="O75" s="133">
        <f t="shared" si="47"/>
        <v>0</v>
      </c>
      <c r="P75" s="133">
        <f t="shared" si="47"/>
        <v>0</v>
      </c>
      <c r="Q75" s="279">
        <f t="shared" si="54"/>
        <v>0</v>
      </c>
      <c r="R75" s="136">
        <f t="shared" si="48"/>
        <v>0</v>
      </c>
      <c r="S75" s="280">
        <f t="shared" si="48"/>
        <v>0</v>
      </c>
      <c r="T75" s="136">
        <f t="shared" si="55"/>
        <v>0</v>
      </c>
      <c r="U75" s="136">
        <f t="shared" si="49"/>
        <v>0</v>
      </c>
      <c r="V75" s="137">
        <f t="shared" si="49"/>
        <v>0</v>
      </c>
      <c r="W75" s="132">
        <f t="shared" si="56"/>
        <v>0</v>
      </c>
      <c r="X75" s="133">
        <f t="shared" si="50"/>
        <v>0</v>
      </c>
      <c r="Y75" s="133">
        <f t="shared" si="50"/>
        <v>0</v>
      </c>
      <c r="Z75" s="279">
        <f t="shared" si="57"/>
        <v>0</v>
      </c>
      <c r="AA75" s="136">
        <f t="shared" si="51"/>
        <v>0</v>
      </c>
      <c r="AB75" s="280">
        <f t="shared" si="51"/>
        <v>0</v>
      </c>
      <c r="AC75" s="136">
        <f t="shared" si="58"/>
        <v>0</v>
      </c>
      <c r="AD75" s="136">
        <f t="shared" si="52"/>
        <v>0</v>
      </c>
      <c r="AE75" s="137">
        <f t="shared" si="52"/>
        <v>0</v>
      </c>
      <c r="AF75" s="173">
        <f>IF(Saisies_Exploitation!E87&gt;0,1,0)</f>
        <v>0</v>
      </c>
    </row>
    <row r="76" spans="1:34" ht="13.5" thickTop="1" x14ac:dyDescent="0.2">
      <c r="A76" s="53"/>
      <c r="B76" s="53"/>
      <c r="C76" s="53"/>
      <c r="D76" s="174" t="s">
        <v>360</v>
      </c>
      <c r="E76" s="175">
        <f>IF(EN_FormMal=1,1,0)</f>
        <v>1</v>
      </c>
      <c r="F76" s="175">
        <f>$E76</f>
        <v>1</v>
      </c>
      <c r="G76" s="175">
        <f t="shared" ref="G76:M76" si="59">$E76</f>
        <v>1</v>
      </c>
      <c r="H76" s="175">
        <f t="shared" si="59"/>
        <v>1</v>
      </c>
      <c r="I76" s="175">
        <f t="shared" si="59"/>
        <v>1</v>
      </c>
      <c r="J76" s="175">
        <f t="shared" si="59"/>
        <v>1</v>
      </c>
      <c r="K76" s="175">
        <f t="shared" si="59"/>
        <v>1</v>
      </c>
      <c r="L76" s="175">
        <f t="shared" si="59"/>
        <v>1</v>
      </c>
      <c r="M76" s="652">
        <f t="shared" si="59"/>
        <v>1</v>
      </c>
      <c r="N76" s="175">
        <f>IF(EN_FormMal=2,1,0)</f>
        <v>0</v>
      </c>
      <c r="O76" s="175">
        <f t="shared" ref="O76:V76" si="60">$N76</f>
        <v>0</v>
      </c>
      <c r="P76" s="175">
        <f t="shared" si="60"/>
        <v>0</v>
      </c>
      <c r="Q76" s="175">
        <f t="shared" si="60"/>
        <v>0</v>
      </c>
      <c r="R76" s="175">
        <f t="shared" si="60"/>
        <v>0</v>
      </c>
      <c r="S76" s="175">
        <f t="shared" si="60"/>
        <v>0</v>
      </c>
      <c r="T76" s="175">
        <f t="shared" si="60"/>
        <v>0</v>
      </c>
      <c r="U76" s="175">
        <f t="shared" si="60"/>
        <v>0</v>
      </c>
      <c r="V76" s="652">
        <f t="shared" si="60"/>
        <v>0</v>
      </c>
      <c r="W76" s="175">
        <f>IF(EN_FormMal=3,1,0)</f>
        <v>0</v>
      </c>
      <c r="X76" s="175">
        <f t="shared" ref="X76:AE76" si="61">$W76</f>
        <v>0</v>
      </c>
      <c r="Y76" s="175">
        <f t="shared" si="61"/>
        <v>0</v>
      </c>
      <c r="Z76" s="175">
        <f t="shared" si="61"/>
        <v>0</v>
      </c>
      <c r="AA76" s="175">
        <f t="shared" si="61"/>
        <v>0</v>
      </c>
      <c r="AB76" s="175">
        <f t="shared" si="61"/>
        <v>0</v>
      </c>
      <c r="AC76" s="175">
        <f t="shared" si="61"/>
        <v>0</v>
      </c>
      <c r="AD76" s="175">
        <f t="shared" si="61"/>
        <v>0</v>
      </c>
      <c r="AE76" s="652">
        <f t="shared" si="61"/>
        <v>0</v>
      </c>
      <c r="AF76" s="176"/>
    </row>
    <row r="77" spans="1:34" ht="13.5" thickBot="1" x14ac:dyDescent="0.25">
      <c r="A77" s="1596"/>
      <c r="B77" s="1596"/>
      <c r="C77" s="1596"/>
      <c r="D77" s="1596"/>
      <c r="E77" s="1596"/>
      <c r="F77" s="1596"/>
      <c r="G77" s="1596"/>
      <c r="H77" s="1596"/>
      <c r="I77" s="1596"/>
      <c r="J77" s="1596"/>
      <c r="K77" s="1596"/>
      <c r="L77" s="1596"/>
      <c r="M77" s="1596"/>
      <c r="N77" s="1596"/>
      <c r="O77" s="1596"/>
      <c r="P77" s="1596"/>
      <c r="Q77" s="1596"/>
      <c r="R77" s="1596"/>
      <c r="S77" s="1596"/>
      <c r="T77" s="1596"/>
      <c r="U77" s="1596"/>
      <c r="V77" s="1596"/>
      <c r="W77" s="1596"/>
      <c r="X77" s="1596"/>
      <c r="Y77" s="1596"/>
      <c r="Z77" s="1596"/>
      <c r="AA77" s="1596"/>
      <c r="AB77" s="1596"/>
      <c r="AC77" s="1596"/>
      <c r="AD77" s="1596"/>
      <c r="AE77" s="1596"/>
      <c r="AF77" s="176"/>
    </row>
    <row r="78" spans="1:34" ht="13.5" thickTop="1" x14ac:dyDescent="0.2">
      <c r="A78" s="1639" t="s">
        <v>380</v>
      </c>
      <c r="B78" s="1602">
        <v>1</v>
      </c>
      <c r="C78" s="56"/>
      <c r="D78" s="114"/>
      <c r="E78" s="1596"/>
      <c r="F78" s="1596"/>
      <c r="G78" s="1596"/>
      <c r="H78" s="1596"/>
      <c r="I78" s="1596"/>
      <c r="J78" s="1596"/>
      <c r="K78" s="1596"/>
      <c r="L78" s="1596"/>
      <c r="M78" s="1596"/>
      <c r="N78" s="1601">
        <f>P78-O78</f>
        <v>0</v>
      </c>
      <c r="O78" s="1602">
        <f t="shared" ref="O78:P85" si="62">O35*$AF78</f>
        <v>0</v>
      </c>
      <c r="P78" s="115">
        <f t="shared" si="62"/>
        <v>0</v>
      </c>
      <c r="Q78" s="210">
        <f>S78-R78</f>
        <v>0</v>
      </c>
      <c r="R78" s="1602">
        <f t="shared" ref="R78:S85" si="63">R35*$AF78</f>
        <v>0</v>
      </c>
      <c r="S78" s="1642">
        <f t="shared" si="63"/>
        <v>0</v>
      </c>
      <c r="T78" s="118">
        <f>V78-U78</f>
        <v>0</v>
      </c>
      <c r="U78" s="1602">
        <f t="shared" ref="U78:V85" si="64">U35*$AF78</f>
        <v>0</v>
      </c>
      <c r="V78" s="1644">
        <f t="shared" si="64"/>
        <v>0</v>
      </c>
      <c r="W78" s="1596"/>
      <c r="X78" s="1596"/>
      <c r="Y78" s="1596"/>
      <c r="Z78" s="1596"/>
      <c r="AA78" s="1596"/>
      <c r="AB78" s="1596"/>
      <c r="AC78" s="1596"/>
      <c r="AD78" s="1596"/>
      <c r="AE78" s="1596"/>
      <c r="AF78" s="173">
        <f>IF(EN_NbMalAn1L&gt;0,1,0)</f>
        <v>0</v>
      </c>
    </row>
    <row r="79" spans="1:34" x14ac:dyDescent="0.2">
      <c r="A79" s="1640" t="s">
        <v>1341</v>
      </c>
      <c r="B79" s="1598">
        <v>2</v>
      </c>
      <c r="C79" s="63"/>
      <c r="D79" s="121"/>
      <c r="E79" s="1596"/>
      <c r="F79" s="1596"/>
      <c r="G79" s="1596"/>
      <c r="H79" s="1596"/>
      <c r="I79" s="1596"/>
      <c r="J79" s="1596"/>
      <c r="K79" s="1596"/>
      <c r="L79" s="1596"/>
      <c r="M79" s="1596"/>
      <c r="N79" s="1603">
        <f t="shared" ref="N79:N85" si="65">P79-O79</f>
        <v>0</v>
      </c>
      <c r="O79" s="1598">
        <f t="shared" si="62"/>
        <v>0</v>
      </c>
      <c r="P79" s="1598">
        <f t="shared" si="62"/>
        <v>0</v>
      </c>
      <c r="Q79" s="660">
        <f>S79-R79</f>
        <v>0</v>
      </c>
      <c r="R79" s="1598">
        <f t="shared" si="63"/>
        <v>0</v>
      </c>
      <c r="S79" s="1599">
        <f t="shared" si="63"/>
        <v>0</v>
      </c>
      <c r="T79" s="122">
        <f t="shared" ref="T79:T85" si="66">V79-U79</f>
        <v>0</v>
      </c>
      <c r="U79" s="1598">
        <f t="shared" si="64"/>
        <v>0</v>
      </c>
      <c r="V79" s="1600">
        <f t="shared" si="64"/>
        <v>0</v>
      </c>
      <c r="W79" s="1596"/>
      <c r="X79" s="1596"/>
      <c r="Y79" s="1596"/>
      <c r="Z79" s="1596"/>
      <c r="AA79" s="1596"/>
      <c r="AB79" s="1596"/>
      <c r="AC79" s="1596"/>
      <c r="AD79" s="1596"/>
      <c r="AE79" s="1596"/>
      <c r="AF79" s="173">
        <f>IF(Saisies_Exploitation!D79&gt;0,1,0)</f>
        <v>0</v>
      </c>
    </row>
    <row r="80" spans="1:34" x14ac:dyDescent="0.2">
      <c r="A80" s="1640" t="s">
        <v>1340</v>
      </c>
      <c r="B80" s="68">
        <v>3</v>
      </c>
      <c r="C80" s="51">
        <v>28</v>
      </c>
      <c r="D80" s="124" t="s">
        <v>183</v>
      </c>
      <c r="E80" s="1596"/>
      <c r="F80" s="1596"/>
      <c r="G80" s="1596"/>
      <c r="H80" s="1596"/>
      <c r="I80" s="1596"/>
      <c r="J80" s="1596"/>
      <c r="K80" s="1596"/>
      <c r="L80" s="1596"/>
      <c r="M80" s="1596"/>
      <c r="N80" s="125">
        <f t="shared" si="65"/>
        <v>0</v>
      </c>
      <c r="O80" s="68">
        <f t="shared" si="62"/>
        <v>0</v>
      </c>
      <c r="P80" s="68">
        <f t="shared" si="62"/>
        <v>0</v>
      </c>
      <c r="Q80" s="204">
        <f t="shared" ref="Q80:Q85" si="67">S80-R80</f>
        <v>0</v>
      </c>
      <c r="R80" s="68">
        <f t="shared" si="63"/>
        <v>0</v>
      </c>
      <c r="S80" s="127">
        <f t="shared" si="63"/>
        <v>0</v>
      </c>
      <c r="T80" s="128">
        <f t="shared" si="66"/>
        <v>0</v>
      </c>
      <c r="U80" s="68">
        <f t="shared" si="64"/>
        <v>0</v>
      </c>
      <c r="V80" s="124">
        <f t="shared" si="64"/>
        <v>0</v>
      </c>
      <c r="W80" s="1596"/>
      <c r="X80" s="1596"/>
      <c r="Y80" s="1596"/>
      <c r="Z80" s="1596"/>
      <c r="AA80" s="1596"/>
      <c r="AB80" s="1596"/>
      <c r="AC80" s="1596"/>
      <c r="AD80" s="1596"/>
      <c r="AE80" s="1596"/>
      <c r="AF80" s="173">
        <f>IF(AND(Saisies_Exploitation!D84&gt;0,AEN_MalMaHe=1),1,0)</f>
        <v>0</v>
      </c>
    </row>
    <row r="81" spans="1:32" x14ac:dyDescent="0.2">
      <c r="A81" s="120"/>
      <c r="B81" s="68"/>
      <c r="C81" s="51"/>
      <c r="D81" s="124" t="s">
        <v>163</v>
      </c>
      <c r="E81" s="1596"/>
      <c r="F81" s="1596"/>
      <c r="G81" s="1596"/>
      <c r="H81" s="1596"/>
      <c r="I81" s="1596"/>
      <c r="J81" s="1596"/>
      <c r="K81" s="1596"/>
      <c r="L81" s="1596"/>
      <c r="M81" s="1596"/>
      <c r="N81" s="125">
        <f t="shared" si="65"/>
        <v>0</v>
      </c>
      <c r="O81" s="68">
        <f t="shared" si="62"/>
        <v>0</v>
      </c>
      <c r="P81" s="68">
        <f t="shared" si="62"/>
        <v>0</v>
      </c>
      <c r="Q81" s="204">
        <f t="shared" si="67"/>
        <v>0</v>
      </c>
      <c r="R81" s="68">
        <f t="shared" si="63"/>
        <v>0</v>
      </c>
      <c r="S81" s="127">
        <f t="shared" si="63"/>
        <v>0</v>
      </c>
      <c r="T81" s="128">
        <f t="shared" si="66"/>
        <v>0</v>
      </c>
      <c r="U81" s="68">
        <f t="shared" si="64"/>
        <v>0</v>
      </c>
      <c r="V81" s="124">
        <f t="shared" si="64"/>
        <v>0</v>
      </c>
      <c r="W81" s="1596"/>
      <c r="X81" s="1596"/>
      <c r="Y81" s="1596"/>
      <c r="Z81" s="1596"/>
      <c r="AA81" s="1596"/>
      <c r="AB81" s="1596"/>
      <c r="AC81" s="1596"/>
      <c r="AD81" s="1596"/>
      <c r="AE81" s="1596"/>
      <c r="AF81" s="173">
        <f>IF(AND(Saisies_Exploitation!D84&gt;0,AEN_MalMaHe=2),1,0)</f>
        <v>0</v>
      </c>
    </row>
    <row r="82" spans="1:32" x14ac:dyDescent="0.2">
      <c r="A82" s="120"/>
      <c r="B82" s="68"/>
      <c r="C82" s="130">
        <v>30</v>
      </c>
      <c r="D82" s="131" t="s">
        <v>183</v>
      </c>
      <c r="E82" s="1596"/>
      <c r="F82" s="1596"/>
      <c r="G82" s="1596"/>
      <c r="H82" s="1596"/>
      <c r="I82" s="1596"/>
      <c r="J82" s="1596"/>
      <c r="K82" s="1596"/>
      <c r="L82" s="1596"/>
      <c r="M82" s="1596"/>
      <c r="N82" s="132">
        <f t="shared" si="65"/>
        <v>0</v>
      </c>
      <c r="O82" s="133">
        <f t="shared" si="62"/>
        <v>0</v>
      </c>
      <c r="P82" s="133">
        <f t="shared" si="62"/>
        <v>0</v>
      </c>
      <c r="Q82" s="279">
        <f t="shared" si="67"/>
        <v>0</v>
      </c>
      <c r="R82" s="133">
        <f t="shared" si="63"/>
        <v>0</v>
      </c>
      <c r="S82" s="135">
        <f t="shared" si="63"/>
        <v>0</v>
      </c>
      <c r="T82" s="136">
        <f t="shared" si="66"/>
        <v>0</v>
      </c>
      <c r="U82" s="133">
        <f t="shared" si="64"/>
        <v>0</v>
      </c>
      <c r="V82" s="131">
        <f t="shared" si="64"/>
        <v>0</v>
      </c>
      <c r="W82" s="1596"/>
      <c r="X82" s="1596"/>
      <c r="Y82" s="1596"/>
      <c r="Z82" s="1596"/>
      <c r="AA82" s="1596"/>
      <c r="AB82" s="1596"/>
      <c r="AC82" s="1596"/>
      <c r="AD82" s="1596"/>
      <c r="AE82" s="1596"/>
      <c r="AF82" s="173">
        <f>IF(AND(Saisies_Exploitation!D85&gt;0,AEN_MalMaHe=1),1,0)</f>
        <v>0</v>
      </c>
    </row>
    <row r="83" spans="1:32" x14ac:dyDescent="0.2">
      <c r="A83" s="120"/>
      <c r="B83" s="68"/>
      <c r="C83" s="138"/>
      <c r="D83" s="139" t="s">
        <v>163</v>
      </c>
      <c r="E83" s="1596"/>
      <c r="F83" s="1596"/>
      <c r="G83" s="1596"/>
      <c r="H83" s="1596"/>
      <c r="I83" s="1596"/>
      <c r="J83" s="1596"/>
      <c r="K83" s="1596"/>
      <c r="L83" s="1596"/>
      <c r="M83" s="1596"/>
      <c r="N83" s="140">
        <f t="shared" si="65"/>
        <v>0</v>
      </c>
      <c r="O83" s="141">
        <f t="shared" si="62"/>
        <v>0</v>
      </c>
      <c r="P83" s="141">
        <f t="shared" si="62"/>
        <v>0</v>
      </c>
      <c r="Q83" s="661">
        <f t="shared" si="67"/>
        <v>0</v>
      </c>
      <c r="R83" s="141">
        <f t="shared" si="63"/>
        <v>0</v>
      </c>
      <c r="S83" s="1643">
        <f t="shared" si="63"/>
        <v>0</v>
      </c>
      <c r="T83" s="142">
        <f t="shared" si="66"/>
        <v>0</v>
      </c>
      <c r="U83" s="141">
        <f t="shared" si="64"/>
        <v>0</v>
      </c>
      <c r="V83" s="139">
        <f t="shared" si="64"/>
        <v>0</v>
      </c>
      <c r="W83" s="1596"/>
      <c r="X83" s="1596"/>
      <c r="Y83" s="1596"/>
      <c r="Z83" s="1596"/>
      <c r="AA83" s="1596"/>
      <c r="AB83" s="1596"/>
      <c r="AC83" s="1596"/>
      <c r="AD83" s="1596"/>
      <c r="AE83" s="1596"/>
      <c r="AF83" s="173">
        <f>IF(AND(Saisies_Exploitation!D85&gt;0,AEN_MalMaHe=2),1,0)</f>
        <v>0</v>
      </c>
    </row>
    <row r="84" spans="1:32" x14ac:dyDescent="0.2">
      <c r="A84" s="120"/>
      <c r="B84" s="68"/>
      <c r="C84" s="51">
        <v>33</v>
      </c>
      <c r="D84" s="144"/>
      <c r="E84" s="1596"/>
      <c r="F84" s="1596"/>
      <c r="G84" s="1596"/>
      <c r="H84" s="1596"/>
      <c r="I84" s="1596"/>
      <c r="J84" s="1596"/>
      <c r="K84" s="1596"/>
      <c r="L84" s="1596"/>
      <c r="M84" s="1596"/>
      <c r="N84" s="125">
        <f t="shared" si="65"/>
        <v>0</v>
      </c>
      <c r="O84" s="68">
        <f t="shared" si="62"/>
        <v>0</v>
      </c>
      <c r="P84" s="68">
        <f t="shared" si="62"/>
        <v>0</v>
      </c>
      <c r="Q84" s="204">
        <f t="shared" si="67"/>
        <v>0</v>
      </c>
      <c r="R84" s="68">
        <f t="shared" si="63"/>
        <v>0</v>
      </c>
      <c r="S84" s="127">
        <f t="shared" si="63"/>
        <v>0</v>
      </c>
      <c r="T84" s="128">
        <f>V84-U84</f>
        <v>0</v>
      </c>
      <c r="U84" s="68">
        <f t="shared" si="64"/>
        <v>0</v>
      </c>
      <c r="V84" s="124">
        <f t="shared" si="64"/>
        <v>0</v>
      </c>
      <c r="W84" s="1596"/>
      <c r="X84" s="1596"/>
      <c r="Y84" s="1596"/>
      <c r="Z84" s="1596"/>
      <c r="AA84" s="1596"/>
      <c r="AB84" s="1596"/>
      <c r="AC84" s="1596"/>
      <c r="AD84" s="1596"/>
      <c r="AE84" s="1596"/>
      <c r="AF84" s="173">
        <f>IF(Saisies_Exploitation!D86&gt;0,1,0)</f>
        <v>0</v>
      </c>
    </row>
    <row r="85" spans="1:32" ht="13.5" thickBot="1" x14ac:dyDescent="0.25">
      <c r="A85" s="1635"/>
      <c r="B85" s="1636"/>
      <c r="C85" s="1637">
        <v>36</v>
      </c>
      <c r="D85" s="1638"/>
      <c r="E85" s="1596"/>
      <c r="F85" s="1596"/>
      <c r="G85" s="1596"/>
      <c r="H85" s="1596"/>
      <c r="I85" s="1596"/>
      <c r="J85" s="1596"/>
      <c r="K85" s="1596"/>
      <c r="L85" s="1596"/>
      <c r="M85" s="1596"/>
      <c r="N85" s="146">
        <f t="shared" si="65"/>
        <v>0</v>
      </c>
      <c r="O85" s="1656">
        <f t="shared" si="62"/>
        <v>0</v>
      </c>
      <c r="P85" s="1656">
        <f t="shared" si="62"/>
        <v>0</v>
      </c>
      <c r="Q85" s="662">
        <f t="shared" si="67"/>
        <v>0</v>
      </c>
      <c r="R85" s="1656">
        <f t="shared" si="63"/>
        <v>0</v>
      </c>
      <c r="S85" s="1657">
        <f t="shared" si="63"/>
        <v>0</v>
      </c>
      <c r="T85" s="148">
        <f t="shared" si="66"/>
        <v>0</v>
      </c>
      <c r="U85" s="1656">
        <f t="shared" si="64"/>
        <v>0</v>
      </c>
      <c r="V85" s="1658">
        <f t="shared" si="64"/>
        <v>0</v>
      </c>
      <c r="W85" s="1596"/>
      <c r="X85" s="1596"/>
      <c r="Y85" s="1596"/>
      <c r="Z85" s="1596"/>
      <c r="AA85" s="1596"/>
      <c r="AB85" s="1596"/>
      <c r="AC85" s="1596"/>
      <c r="AD85" s="1596"/>
      <c r="AE85" s="1596"/>
      <c r="AF85" s="173">
        <f>IF(Saisies_Exploitation!D87&gt;0,1,0)</f>
        <v>0</v>
      </c>
    </row>
    <row r="86" spans="1:32" ht="12.75" customHeight="1" thickBot="1" x14ac:dyDescent="0.25">
      <c r="A86" s="73"/>
      <c r="B86" s="73"/>
      <c r="C86" s="73"/>
      <c r="D86" s="73"/>
      <c r="E86" s="73"/>
      <c r="F86" s="73"/>
      <c r="G86" s="73"/>
      <c r="H86" s="73"/>
      <c r="I86" s="73"/>
      <c r="J86" s="73"/>
      <c r="K86" s="73"/>
      <c r="L86" s="73"/>
      <c r="M86" s="74"/>
      <c r="N86" s="73"/>
      <c r="O86" s="73"/>
      <c r="P86" s="73"/>
      <c r="Q86" s="73"/>
      <c r="R86" s="73"/>
      <c r="S86" s="73"/>
      <c r="T86" s="73"/>
      <c r="U86" s="73"/>
      <c r="V86" s="74"/>
      <c r="W86" s="73"/>
      <c r="X86" s="73"/>
      <c r="Y86" s="73"/>
      <c r="Z86" s="73"/>
      <c r="AA86" s="73"/>
      <c r="AB86" s="73"/>
      <c r="AC86" s="73"/>
      <c r="AD86" s="73"/>
      <c r="AE86" s="74"/>
      <c r="AF86" s="176"/>
    </row>
    <row r="87" spans="1:32" ht="13.5" thickTop="1" x14ac:dyDescent="0.2">
      <c r="A87" s="61" t="s">
        <v>351</v>
      </c>
      <c r="B87" s="177">
        <v>2</v>
      </c>
      <c r="C87" s="178"/>
      <c r="D87" s="179"/>
      <c r="E87" s="150">
        <f>G87-F87</f>
        <v>0</v>
      </c>
      <c r="F87" s="180">
        <f t="shared" ref="F87:G91" si="68">F43*F$92*$AF87</f>
        <v>0</v>
      </c>
      <c r="G87" s="151">
        <f t="shared" si="68"/>
        <v>0</v>
      </c>
      <c r="H87" s="274">
        <f>J87-I87</f>
        <v>0</v>
      </c>
      <c r="I87" s="153">
        <f t="shared" ref="I87:J91" si="69">I43*I$92*$AF87</f>
        <v>0</v>
      </c>
      <c r="J87" s="275">
        <f t="shared" si="69"/>
        <v>0</v>
      </c>
      <c r="K87" s="153">
        <f>M87-L87</f>
        <v>0</v>
      </c>
      <c r="L87" s="153">
        <f t="shared" ref="L87:M91" si="70">L43*L$92*$AF87</f>
        <v>0</v>
      </c>
      <c r="M87" s="154">
        <f t="shared" si="70"/>
        <v>0</v>
      </c>
      <c r="N87" s="150">
        <f>P87-O87</f>
        <v>0</v>
      </c>
      <c r="O87" s="180">
        <f t="shared" ref="O87:P91" si="71">O43*O$92*$AF87</f>
        <v>0</v>
      </c>
      <c r="P87" s="151">
        <f t="shared" si="71"/>
        <v>0</v>
      </c>
      <c r="Q87" s="274">
        <f>S87-R87</f>
        <v>0</v>
      </c>
      <c r="R87" s="153">
        <f t="shared" ref="R87:S91" si="72">R43*R$92*$AF87</f>
        <v>0</v>
      </c>
      <c r="S87" s="275">
        <f t="shared" si="72"/>
        <v>0</v>
      </c>
      <c r="T87" s="153">
        <f>V87-U87</f>
        <v>0</v>
      </c>
      <c r="U87" s="153">
        <f t="shared" ref="U87:V91" si="73">U43*U$92*$AF87</f>
        <v>0</v>
      </c>
      <c r="V87" s="154">
        <f t="shared" si="73"/>
        <v>0</v>
      </c>
      <c r="W87" s="150">
        <f>Y87-X87</f>
        <v>0</v>
      </c>
      <c r="X87" s="180">
        <f t="shared" ref="X87:Y91" si="74">X43*X$92*$AF87</f>
        <v>0</v>
      </c>
      <c r="Y87" s="151">
        <f t="shared" si="74"/>
        <v>0</v>
      </c>
      <c r="Z87" s="274">
        <f>AB87-AA87</f>
        <v>0</v>
      </c>
      <c r="AA87" s="153">
        <f t="shared" ref="AA87:AB91" si="75">AA43*AA$92*$AF87</f>
        <v>0</v>
      </c>
      <c r="AB87" s="275">
        <f t="shared" si="75"/>
        <v>0</v>
      </c>
      <c r="AC87" s="153">
        <f>AE87-AD87</f>
        <v>0</v>
      </c>
      <c r="AD87" s="153">
        <f t="shared" ref="AD87:AE91" si="76">AD43*AD$92*$AF87</f>
        <v>0</v>
      </c>
      <c r="AE87" s="154">
        <f t="shared" si="76"/>
        <v>0</v>
      </c>
      <c r="AF87" s="173">
        <f>IF(Saisies_Exploitation!E103&gt;0,1,0)</f>
        <v>0</v>
      </c>
    </row>
    <row r="88" spans="1:32" x14ac:dyDescent="0.2">
      <c r="A88" s="1641" t="s">
        <v>1341</v>
      </c>
      <c r="B88" s="51">
        <v>3</v>
      </c>
      <c r="C88" s="51">
        <v>30</v>
      </c>
      <c r="D88" s="124" t="s">
        <v>183</v>
      </c>
      <c r="E88" s="125">
        <f>G88-F88</f>
        <v>0</v>
      </c>
      <c r="F88" s="68">
        <f t="shared" si="68"/>
        <v>0</v>
      </c>
      <c r="G88" s="68">
        <f t="shared" si="68"/>
        <v>0</v>
      </c>
      <c r="H88" s="204">
        <f>J88-I88</f>
        <v>0</v>
      </c>
      <c r="I88" s="128">
        <f t="shared" si="69"/>
        <v>0</v>
      </c>
      <c r="J88" s="205">
        <f t="shared" si="69"/>
        <v>0</v>
      </c>
      <c r="K88" s="128">
        <f>M88-L88</f>
        <v>0</v>
      </c>
      <c r="L88" s="128">
        <f t="shared" si="70"/>
        <v>0</v>
      </c>
      <c r="M88" s="129">
        <f t="shared" si="70"/>
        <v>0</v>
      </c>
      <c r="N88" s="125">
        <f>P88-O88</f>
        <v>0</v>
      </c>
      <c r="O88" s="68">
        <f t="shared" si="71"/>
        <v>0</v>
      </c>
      <c r="P88" s="68">
        <f t="shared" si="71"/>
        <v>0</v>
      </c>
      <c r="Q88" s="204">
        <f>S88-R88</f>
        <v>0</v>
      </c>
      <c r="R88" s="128">
        <f t="shared" si="72"/>
        <v>0</v>
      </c>
      <c r="S88" s="205">
        <f t="shared" si="72"/>
        <v>0</v>
      </c>
      <c r="T88" s="128">
        <f>V88-U88</f>
        <v>0</v>
      </c>
      <c r="U88" s="128">
        <f t="shared" si="73"/>
        <v>0</v>
      </c>
      <c r="V88" s="129">
        <f t="shared" si="73"/>
        <v>0</v>
      </c>
      <c r="W88" s="125">
        <f>Y88-X88</f>
        <v>0</v>
      </c>
      <c r="X88" s="68">
        <f t="shared" si="74"/>
        <v>0</v>
      </c>
      <c r="Y88" s="68">
        <f t="shared" si="74"/>
        <v>0</v>
      </c>
      <c r="Z88" s="204">
        <f>AB88-AA88</f>
        <v>0</v>
      </c>
      <c r="AA88" s="128">
        <f t="shared" si="75"/>
        <v>0</v>
      </c>
      <c r="AB88" s="205">
        <f t="shared" si="75"/>
        <v>0</v>
      </c>
      <c r="AC88" s="128">
        <f>AE88-AD88</f>
        <v>0</v>
      </c>
      <c r="AD88" s="128">
        <f t="shared" si="76"/>
        <v>0</v>
      </c>
      <c r="AE88" s="129">
        <f t="shared" si="76"/>
        <v>0</v>
      </c>
      <c r="AF88" s="173">
        <f>IF(AND(Saisies_Exploitation!E107&gt;0,AEN_G3AMaHe=1),1,0)</f>
        <v>0</v>
      </c>
    </row>
    <row r="89" spans="1:32" x14ac:dyDescent="0.2">
      <c r="A89" s="1641" t="s">
        <v>1342</v>
      </c>
      <c r="B89" s="51"/>
      <c r="C89" s="51"/>
      <c r="D89" s="124" t="s">
        <v>163</v>
      </c>
      <c r="E89" s="125">
        <f>G89-F89</f>
        <v>0</v>
      </c>
      <c r="F89" s="68">
        <f t="shared" si="68"/>
        <v>0</v>
      </c>
      <c r="G89" s="68">
        <f t="shared" si="68"/>
        <v>0</v>
      </c>
      <c r="H89" s="204">
        <f>J89-I89</f>
        <v>0</v>
      </c>
      <c r="I89" s="128">
        <f t="shared" si="69"/>
        <v>0</v>
      </c>
      <c r="J89" s="205">
        <f t="shared" si="69"/>
        <v>0</v>
      </c>
      <c r="K89" s="128">
        <f>M89-L89</f>
        <v>0</v>
      </c>
      <c r="L89" s="128">
        <f t="shared" si="70"/>
        <v>0</v>
      </c>
      <c r="M89" s="129">
        <f t="shared" si="70"/>
        <v>0</v>
      </c>
      <c r="N89" s="125">
        <f>P89-O89</f>
        <v>0</v>
      </c>
      <c r="O89" s="68">
        <f t="shared" si="71"/>
        <v>0</v>
      </c>
      <c r="P89" s="68">
        <f t="shared" si="71"/>
        <v>0</v>
      </c>
      <c r="Q89" s="204">
        <f>S89-R89</f>
        <v>0</v>
      </c>
      <c r="R89" s="128">
        <f t="shared" si="72"/>
        <v>0</v>
      </c>
      <c r="S89" s="205">
        <f t="shared" si="72"/>
        <v>0</v>
      </c>
      <c r="T89" s="128">
        <f>V89-U89</f>
        <v>0</v>
      </c>
      <c r="U89" s="128">
        <f t="shared" si="73"/>
        <v>0</v>
      </c>
      <c r="V89" s="129">
        <f t="shared" si="73"/>
        <v>0</v>
      </c>
      <c r="W89" s="125">
        <f>Y89-X89</f>
        <v>0</v>
      </c>
      <c r="X89" s="68">
        <f t="shared" si="74"/>
        <v>0</v>
      </c>
      <c r="Y89" s="68">
        <f t="shared" si="74"/>
        <v>0</v>
      </c>
      <c r="Z89" s="204">
        <f>AB89-AA89</f>
        <v>0</v>
      </c>
      <c r="AA89" s="128">
        <f t="shared" si="75"/>
        <v>0</v>
      </c>
      <c r="AB89" s="205">
        <f t="shared" si="75"/>
        <v>0</v>
      </c>
      <c r="AC89" s="128">
        <f>AE89-AD89</f>
        <v>0</v>
      </c>
      <c r="AD89" s="128">
        <f t="shared" si="76"/>
        <v>0</v>
      </c>
      <c r="AE89" s="129">
        <f t="shared" si="76"/>
        <v>0</v>
      </c>
      <c r="AF89" s="173">
        <f>IF(AND(Saisies_Exploitation!E107&gt;0,AEN_G3AMaHe=2),1,0)</f>
        <v>0</v>
      </c>
    </row>
    <row r="90" spans="1:32" x14ac:dyDescent="0.2">
      <c r="A90" s="61"/>
      <c r="B90" s="51"/>
      <c r="C90" s="130">
        <v>33</v>
      </c>
      <c r="D90" s="145"/>
      <c r="E90" s="132">
        <f>G90-F90</f>
        <v>0</v>
      </c>
      <c r="F90" s="133">
        <f t="shared" si="68"/>
        <v>0</v>
      </c>
      <c r="G90" s="133">
        <f t="shared" si="68"/>
        <v>0</v>
      </c>
      <c r="H90" s="279">
        <f>J90-I90</f>
        <v>0</v>
      </c>
      <c r="I90" s="136">
        <f t="shared" si="69"/>
        <v>0</v>
      </c>
      <c r="J90" s="280">
        <f t="shared" si="69"/>
        <v>0</v>
      </c>
      <c r="K90" s="136">
        <f>M90-L90</f>
        <v>0</v>
      </c>
      <c r="L90" s="136">
        <f t="shared" si="70"/>
        <v>0</v>
      </c>
      <c r="M90" s="137">
        <f t="shared" si="70"/>
        <v>0</v>
      </c>
      <c r="N90" s="132">
        <f>P90-O90</f>
        <v>0</v>
      </c>
      <c r="O90" s="133">
        <f t="shared" si="71"/>
        <v>0</v>
      </c>
      <c r="P90" s="133">
        <f t="shared" si="71"/>
        <v>0</v>
      </c>
      <c r="Q90" s="279">
        <f>S90-R90</f>
        <v>0</v>
      </c>
      <c r="R90" s="136">
        <f t="shared" si="72"/>
        <v>0</v>
      </c>
      <c r="S90" s="280">
        <f t="shared" si="72"/>
        <v>0</v>
      </c>
      <c r="T90" s="136">
        <f>V90-U90</f>
        <v>0</v>
      </c>
      <c r="U90" s="136">
        <f t="shared" si="73"/>
        <v>0</v>
      </c>
      <c r="V90" s="137">
        <f t="shared" si="73"/>
        <v>0</v>
      </c>
      <c r="W90" s="132">
        <f>Y90-X90</f>
        <v>0</v>
      </c>
      <c r="X90" s="133">
        <f t="shared" si="74"/>
        <v>0</v>
      </c>
      <c r="Y90" s="133">
        <f t="shared" si="74"/>
        <v>0</v>
      </c>
      <c r="Z90" s="279">
        <f>AB90-AA90</f>
        <v>0</v>
      </c>
      <c r="AA90" s="136">
        <f t="shared" si="75"/>
        <v>0</v>
      </c>
      <c r="AB90" s="280">
        <f t="shared" si="75"/>
        <v>0</v>
      </c>
      <c r="AC90" s="136">
        <f>AE90-AD90</f>
        <v>0</v>
      </c>
      <c r="AD90" s="136">
        <f t="shared" si="76"/>
        <v>0</v>
      </c>
      <c r="AE90" s="137">
        <f t="shared" si="76"/>
        <v>0</v>
      </c>
      <c r="AF90" s="173">
        <f>IF(Saisies_Exploitation!E108&gt;0,1,0)</f>
        <v>0</v>
      </c>
    </row>
    <row r="91" spans="1:32" ht="13.5" thickBot="1" x14ac:dyDescent="0.25">
      <c r="A91" s="61"/>
      <c r="B91" s="51"/>
      <c r="C91" s="130">
        <v>36</v>
      </c>
      <c r="D91" s="145"/>
      <c r="E91" s="132">
        <f>G91-F91</f>
        <v>0</v>
      </c>
      <c r="F91" s="133">
        <f t="shared" si="68"/>
        <v>0</v>
      </c>
      <c r="G91" s="133">
        <f t="shared" si="68"/>
        <v>0</v>
      </c>
      <c r="H91" s="279">
        <f>J91-I91</f>
        <v>0</v>
      </c>
      <c r="I91" s="136">
        <f t="shared" si="69"/>
        <v>0</v>
      </c>
      <c r="J91" s="280">
        <f t="shared" si="69"/>
        <v>0</v>
      </c>
      <c r="K91" s="136">
        <f>M91-L91</f>
        <v>0</v>
      </c>
      <c r="L91" s="136">
        <f t="shared" si="70"/>
        <v>0</v>
      </c>
      <c r="M91" s="137">
        <f t="shared" si="70"/>
        <v>0</v>
      </c>
      <c r="N91" s="132">
        <f>P91-O91</f>
        <v>0</v>
      </c>
      <c r="O91" s="133">
        <f t="shared" si="71"/>
        <v>0</v>
      </c>
      <c r="P91" s="133">
        <f t="shared" si="71"/>
        <v>0</v>
      </c>
      <c r="Q91" s="279">
        <f>S91-R91</f>
        <v>0</v>
      </c>
      <c r="R91" s="136">
        <f t="shared" si="72"/>
        <v>0</v>
      </c>
      <c r="S91" s="280">
        <f t="shared" si="72"/>
        <v>0</v>
      </c>
      <c r="T91" s="136">
        <f>V91-U91</f>
        <v>0</v>
      </c>
      <c r="U91" s="136">
        <f t="shared" si="73"/>
        <v>0</v>
      </c>
      <c r="V91" s="137">
        <f t="shared" si="73"/>
        <v>0</v>
      </c>
      <c r="W91" s="132">
        <f>Y91-X91</f>
        <v>0</v>
      </c>
      <c r="X91" s="133">
        <f t="shared" si="74"/>
        <v>0</v>
      </c>
      <c r="Y91" s="133">
        <f t="shared" si="74"/>
        <v>0</v>
      </c>
      <c r="Z91" s="279">
        <f>AB91-AA91</f>
        <v>0</v>
      </c>
      <c r="AA91" s="136">
        <f t="shared" si="75"/>
        <v>0</v>
      </c>
      <c r="AB91" s="280">
        <f t="shared" si="75"/>
        <v>0</v>
      </c>
      <c r="AC91" s="136">
        <f>AE91-AD91</f>
        <v>0</v>
      </c>
      <c r="AD91" s="136">
        <f t="shared" si="76"/>
        <v>0</v>
      </c>
      <c r="AE91" s="137">
        <f t="shared" si="76"/>
        <v>0</v>
      </c>
      <c r="AF91" s="173">
        <f>IF(Saisies_Exploitation!E109&gt;0,1,0)</f>
        <v>0</v>
      </c>
    </row>
    <row r="92" spans="1:32" ht="13.5" thickTop="1" x14ac:dyDescent="0.2">
      <c r="A92" s="53"/>
      <c r="B92" s="53"/>
      <c r="C92" s="53"/>
      <c r="D92" s="174" t="s">
        <v>360</v>
      </c>
      <c r="E92" s="175">
        <f>IF(EN_FormGen=1,1,0)</f>
        <v>0</v>
      </c>
      <c r="F92" s="175">
        <f>$E92</f>
        <v>0</v>
      </c>
      <c r="G92" s="175">
        <f t="shared" ref="G92:M92" si="77">$E92</f>
        <v>0</v>
      </c>
      <c r="H92" s="175">
        <f t="shared" si="77"/>
        <v>0</v>
      </c>
      <c r="I92" s="175">
        <f t="shared" si="77"/>
        <v>0</v>
      </c>
      <c r="J92" s="175">
        <f t="shared" si="77"/>
        <v>0</v>
      </c>
      <c r="K92" s="175">
        <f t="shared" si="77"/>
        <v>0</v>
      </c>
      <c r="L92" s="175">
        <f t="shared" si="77"/>
        <v>0</v>
      </c>
      <c r="M92" s="652">
        <f t="shared" si="77"/>
        <v>0</v>
      </c>
      <c r="N92" s="175">
        <f>IF(EN_FormGen=2,1,0)</f>
        <v>0</v>
      </c>
      <c r="O92" s="175">
        <f t="shared" ref="O92:V92" si="78">$N92</f>
        <v>0</v>
      </c>
      <c r="P92" s="175">
        <f t="shared" si="78"/>
        <v>0</v>
      </c>
      <c r="Q92" s="175">
        <f t="shared" si="78"/>
        <v>0</v>
      </c>
      <c r="R92" s="175">
        <f t="shared" si="78"/>
        <v>0</v>
      </c>
      <c r="S92" s="175">
        <f t="shared" si="78"/>
        <v>0</v>
      </c>
      <c r="T92" s="175">
        <f t="shared" si="78"/>
        <v>0</v>
      </c>
      <c r="U92" s="175">
        <f t="shared" si="78"/>
        <v>0</v>
      </c>
      <c r="V92" s="652">
        <f t="shared" si="78"/>
        <v>0</v>
      </c>
      <c r="W92" s="175">
        <f>IF(EN_FormGen=3,1,0)</f>
        <v>0</v>
      </c>
      <c r="X92" s="175">
        <f t="shared" ref="X92:AE92" si="79">$W92</f>
        <v>0</v>
      </c>
      <c r="Y92" s="175">
        <f t="shared" si="79"/>
        <v>0</v>
      </c>
      <c r="Z92" s="175">
        <f t="shared" si="79"/>
        <v>0</v>
      </c>
      <c r="AA92" s="175">
        <f t="shared" si="79"/>
        <v>0</v>
      </c>
      <c r="AB92" s="175">
        <f t="shared" si="79"/>
        <v>0</v>
      </c>
      <c r="AC92" s="175">
        <f t="shared" si="79"/>
        <v>0</v>
      </c>
      <c r="AD92" s="175">
        <f t="shared" si="79"/>
        <v>0</v>
      </c>
      <c r="AE92" s="652">
        <f t="shared" si="79"/>
        <v>0</v>
      </c>
      <c r="AF92" s="176"/>
    </row>
    <row r="93" spans="1:32" ht="13.5" thickBot="1" x14ac:dyDescent="0.25">
      <c r="A93" s="1596"/>
      <c r="B93" s="1596"/>
      <c r="C93" s="1596"/>
      <c r="D93" s="1596"/>
      <c r="E93" s="1596"/>
      <c r="F93" s="1596"/>
      <c r="G93" s="1596"/>
      <c r="H93" s="1596"/>
      <c r="I93" s="1596"/>
      <c r="J93" s="1596"/>
      <c r="K93" s="1596"/>
      <c r="L93" s="1596"/>
      <c r="M93" s="1596"/>
      <c r="N93" s="1596"/>
      <c r="O93" s="1596"/>
      <c r="P93" s="1596"/>
      <c r="Q93" s="1596"/>
      <c r="R93" s="1596"/>
      <c r="S93" s="1596"/>
      <c r="T93" s="1596"/>
      <c r="U93" s="1596"/>
      <c r="V93" s="1596"/>
      <c r="W93" s="1596"/>
      <c r="X93" s="1596"/>
      <c r="Y93" s="1596"/>
      <c r="Z93" s="1596"/>
      <c r="AA93" s="1596"/>
      <c r="AB93" s="1596"/>
      <c r="AC93" s="1596"/>
      <c r="AD93" s="1596"/>
      <c r="AE93" s="1596"/>
      <c r="AF93" s="176"/>
    </row>
    <row r="94" spans="1:32" ht="13.5" thickTop="1" x14ac:dyDescent="0.2">
      <c r="A94" s="1645" t="s">
        <v>351</v>
      </c>
      <c r="B94" s="1646">
        <v>2</v>
      </c>
      <c r="C94" s="1647"/>
      <c r="D94" s="1648"/>
      <c r="E94" s="1596"/>
      <c r="F94" s="1596"/>
      <c r="G94" s="1596"/>
      <c r="H94" s="1596"/>
      <c r="I94" s="1596"/>
      <c r="J94" s="1596"/>
      <c r="K94" s="1596"/>
      <c r="L94" s="1596"/>
      <c r="M94" s="1596"/>
      <c r="N94" s="1604">
        <f>P94-O94</f>
        <v>0</v>
      </c>
      <c r="O94" s="1605">
        <f t="shared" ref="O94:P98" si="80">O43*$AF94</f>
        <v>0</v>
      </c>
      <c r="P94" s="1605">
        <f t="shared" si="80"/>
        <v>0</v>
      </c>
      <c r="Q94" s="268">
        <f>S94-R94</f>
        <v>0</v>
      </c>
      <c r="R94" s="1605">
        <f t="shared" ref="R94:S98" si="81">R43*$AF94</f>
        <v>0</v>
      </c>
      <c r="S94" s="1606">
        <f t="shared" si="81"/>
        <v>0</v>
      </c>
      <c r="T94" s="269">
        <f>V94-U94</f>
        <v>0</v>
      </c>
      <c r="U94" s="1605">
        <f t="shared" ref="U94:V98" si="82">U43*$AF94</f>
        <v>0</v>
      </c>
      <c r="V94" s="1607">
        <f t="shared" si="82"/>
        <v>0</v>
      </c>
      <c r="W94" s="1596"/>
      <c r="X94" s="1596"/>
      <c r="Y94" s="1596"/>
      <c r="Z94" s="1596"/>
      <c r="AA94" s="1596"/>
      <c r="AB94" s="1596"/>
      <c r="AC94" s="1596"/>
      <c r="AD94" s="1596"/>
      <c r="AE94" s="1596"/>
      <c r="AF94" s="173">
        <f>IF(Saisies_Exploitation!D103&gt;0,1,0)</f>
        <v>0</v>
      </c>
    </row>
    <row r="95" spans="1:32" x14ac:dyDescent="0.2">
      <c r="A95" s="1649" t="s">
        <v>1341</v>
      </c>
      <c r="B95" s="51">
        <v>3</v>
      </c>
      <c r="C95" s="51">
        <v>30</v>
      </c>
      <c r="D95" s="1650" t="s">
        <v>183</v>
      </c>
      <c r="E95" s="1596"/>
      <c r="F95" s="1596"/>
      <c r="G95" s="1596"/>
      <c r="H95" s="1596"/>
      <c r="I95" s="1596"/>
      <c r="J95" s="1596"/>
      <c r="K95" s="1596"/>
      <c r="L95" s="1596"/>
      <c r="M95" s="1596"/>
      <c r="N95" s="125">
        <f>P95-O95</f>
        <v>0</v>
      </c>
      <c r="O95" s="68">
        <f t="shared" si="80"/>
        <v>0</v>
      </c>
      <c r="P95" s="68">
        <f t="shared" si="80"/>
        <v>0</v>
      </c>
      <c r="Q95" s="204">
        <f>S95-R95</f>
        <v>0</v>
      </c>
      <c r="R95" s="68">
        <f t="shared" si="81"/>
        <v>0</v>
      </c>
      <c r="S95" s="127">
        <f t="shared" si="81"/>
        <v>0</v>
      </c>
      <c r="T95" s="128">
        <f>V95-U95</f>
        <v>0</v>
      </c>
      <c r="U95" s="68">
        <f t="shared" si="82"/>
        <v>0</v>
      </c>
      <c r="V95" s="124">
        <f t="shared" si="82"/>
        <v>0</v>
      </c>
      <c r="W95" s="1596"/>
      <c r="X95" s="1596"/>
      <c r="Y95" s="1596"/>
      <c r="Z95" s="1596"/>
      <c r="AA95" s="1596"/>
      <c r="AB95" s="1596"/>
      <c r="AC95" s="1596"/>
      <c r="AD95" s="1596"/>
      <c r="AE95" s="1596"/>
      <c r="AF95" s="173">
        <f>IF(AND(Saisies_Exploitation!D107&gt;0,AEN_G3LMaHe=1),1,0)</f>
        <v>0</v>
      </c>
    </row>
    <row r="96" spans="1:32" x14ac:dyDescent="0.2">
      <c r="A96" s="1649" t="s">
        <v>1340</v>
      </c>
      <c r="B96" s="51"/>
      <c r="C96" s="51"/>
      <c r="D96" s="1650" t="s">
        <v>163</v>
      </c>
      <c r="E96" s="1596"/>
      <c r="F96" s="1596"/>
      <c r="G96" s="1596"/>
      <c r="H96" s="1596"/>
      <c r="I96" s="1596"/>
      <c r="J96" s="1596"/>
      <c r="K96" s="1596"/>
      <c r="L96" s="1596"/>
      <c r="M96" s="1596"/>
      <c r="N96" s="125">
        <f>P96-O96</f>
        <v>0</v>
      </c>
      <c r="O96" s="68">
        <f t="shared" si="80"/>
        <v>0</v>
      </c>
      <c r="P96" s="68">
        <f t="shared" si="80"/>
        <v>0</v>
      </c>
      <c r="Q96" s="204">
        <f>S96-R96</f>
        <v>0</v>
      </c>
      <c r="R96" s="68">
        <f t="shared" si="81"/>
        <v>0</v>
      </c>
      <c r="S96" s="127">
        <f t="shared" si="81"/>
        <v>0</v>
      </c>
      <c r="T96" s="128">
        <f>V96-U96</f>
        <v>0</v>
      </c>
      <c r="U96" s="68">
        <f t="shared" si="82"/>
        <v>0</v>
      </c>
      <c r="V96" s="124">
        <f t="shared" si="82"/>
        <v>0</v>
      </c>
      <c r="W96" s="1596"/>
      <c r="X96" s="1596"/>
      <c r="Y96" s="1596"/>
      <c r="Z96" s="1596"/>
      <c r="AA96" s="1596"/>
      <c r="AB96" s="1596"/>
      <c r="AC96" s="1596"/>
      <c r="AD96" s="1596"/>
      <c r="AE96" s="1596"/>
      <c r="AF96" s="173">
        <f>IF(AND(Saisies_Exploitation!D107&gt;0,AEN_G3LMaHe=2),1,0)</f>
        <v>0</v>
      </c>
    </row>
    <row r="97" spans="1:43" x14ac:dyDescent="0.2">
      <c r="A97" s="1651"/>
      <c r="B97" s="51"/>
      <c r="C97" s="130">
        <v>33</v>
      </c>
      <c r="D97" s="1652"/>
      <c r="E97" s="1596"/>
      <c r="F97" s="1596"/>
      <c r="G97" s="1596"/>
      <c r="H97" s="1596"/>
      <c r="I97" s="1596"/>
      <c r="J97" s="1596"/>
      <c r="K97" s="1596"/>
      <c r="L97" s="1596"/>
      <c r="M97" s="1596"/>
      <c r="N97" s="132">
        <f>P97-O97</f>
        <v>0</v>
      </c>
      <c r="O97" s="133">
        <f t="shared" si="80"/>
        <v>0</v>
      </c>
      <c r="P97" s="133">
        <f t="shared" si="80"/>
        <v>0</v>
      </c>
      <c r="Q97" s="279">
        <f>S97-R97</f>
        <v>0</v>
      </c>
      <c r="R97" s="133">
        <f t="shared" si="81"/>
        <v>0</v>
      </c>
      <c r="S97" s="135">
        <f t="shared" si="81"/>
        <v>0</v>
      </c>
      <c r="T97" s="136">
        <f>V97-U97</f>
        <v>0</v>
      </c>
      <c r="U97" s="133">
        <f t="shared" si="82"/>
        <v>0</v>
      </c>
      <c r="V97" s="131">
        <f t="shared" si="82"/>
        <v>0</v>
      </c>
      <c r="W97" s="1596"/>
      <c r="X97" s="1596"/>
      <c r="Y97" s="1596"/>
      <c r="Z97" s="1596"/>
      <c r="AA97" s="1596"/>
      <c r="AB97" s="1596"/>
      <c r="AC97" s="1596"/>
      <c r="AD97" s="1596"/>
      <c r="AE97" s="1596"/>
      <c r="AF97" s="173">
        <f>IF(Saisies_Exploitation!D108&gt;0,1,0)</f>
        <v>0</v>
      </c>
    </row>
    <row r="98" spans="1:43" ht="13.5" thickBot="1" x14ac:dyDescent="0.25">
      <c r="A98" s="1653"/>
      <c r="B98" s="1654"/>
      <c r="C98" s="1637">
        <v>36</v>
      </c>
      <c r="D98" s="1655"/>
      <c r="E98" s="1596"/>
      <c r="F98" s="1596"/>
      <c r="G98" s="1596"/>
      <c r="H98" s="1596"/>
      <c r="I98" s="1596"/>
      <c r="J98" s="1596"/>
      <c r="K98" s="1596"/>
      <c r="L98" s="1596"/>
      <c r="M98" s="1596"/>
      <c r="N98" s="146">
        <f>P98-O98</f>
        <v>0</v>
      </c>
      <c r="O98" s="1656">
        <f t="shared" si="80"/>
        <v>0</v>
      </c>
      <c r="P98" s="1656">
        <f t="shared" si="80"/>
        <v>0</v>
      </c>
      <c r="Q98" s="662">
        <f>S98-R98</f>
        <v>0</v>
      </c>
      <c r="R98" s="1656">
        <f t="shared" si="81"/>
        <v>0</v>
      </c>
      <c r="S98" s="1657">
        <f t="shared" si="81"/>
        <v>0</v>
      </c>
      <c r="T98" s="148">
        <f>V98-U98</f>
        <v>0</v>
      </c>
      <c r="U98" s="1656">
        <f t="shared" si="82"/>
        <v>0</v>
      </c>
      <c r="V98" s="1658">
        <f t="shared" si="82"/>
        <v>0</v>
      </c>
      <c r="W98" s="1596"/>
      <c r="X98" s="1596"/>
      <c r="Y98" s="1596"/>
      <c r="Z98" s="1596"/>
      <c r="AA98" s="1596"/>
      <c r="AB98" s="1596"/>
      <c r="AC98" s="1596"/>
      <c r="AD98" s="1596"/>
      <c r="AE98" s="1596"/>
      <c r="AF98" s="173">
        <f>IF(Saisies_Exploitation!D109&gt;0,1,0)</f>
        <v>0</v>
      </c>
    </row>
    <row r="99" spans="1:43" ht="12.75" customHeight="1" thickBot="1" x14ac:dyDescent="0.25">
      <c r="A99" s="46"/>
      <c r="B99" s="46"/>
      <c r="C99" s="46"/>
      <c r="D99"/>
      <c r="E99"/>
      <c r="F99" s="1686"/>
      <c r="G99" s="1686"/>
      <c r="H99" s="1686"/>
      <c r="I99" s="1686"/>
      <c r="J99" s="1686"/>
      <c r="K99" s="1686"/>
      <c r="L99" s="1686"/>
      <c r="M99" s="1686"/>
      <c r="N99"/>
      <c r="O99"/>
      <c r="P99" s="1686"/>
      <c r="Q99" s="605"/>
      <c r="R99" s="605"/>
      <c r="S99" s="1686"/>
      <c r="T99"/>
      <c r="U99"/>
      <c r="V99" s="606"/>
      <c r="W99"/>
      <c r="X99"/>
      <c r="Y99" s="1686"/>
      <c r="Z99" s="1686"/>
      <c r="AA99" s="1686"/>
      <c r="AB99" s="1686"/>
      <c r="AC99" s="1686"/>
      <c r="AD99" s="1686"/>
      <c r="AE99" s="1686"/>
      <c r="AF99"/>
      <c r="AG99"/>
      <c r="AH99"/>
      <c r="AI99"/>
      <c r="AJ99"/>
      <c r="AK99"/>
      <c r="AL99"/>
      <c r="AM99"/>
      <c r="AN99"/>
      <c r="AO99"/>
      <c r="AP99"/>
      <c r="AQ99"/>
    </row>
    <row r="100" spans="1:43" ht="12.75" customHeight="1" x14ac:dyDescent="0.2">
      <c r="A100" s="2855" t="s">
        <v>2358</v>
      </c>
      <c r="B100" s="2856"/>
      <c r="C100" s="2856"/>
      <c r="D100" s="2857"/>
      <c r="E100" s="630"/>
      <c r="F100" s="613"/>
      <c r="G100" s="613"/>
      <c r="H100" s="613"/>
      <c r="I100" s="613"/>
      <c r="J100" s="613"/>
      <c r="K100" s="613"/>
      <c r="L100" s="613"/>
      <c r="M100" s="613"/>
      <c r="N100" s="2858">
        <f>P100-O100</f>
        <v>0</v>
      </c>
      <c r="O100" s="2859">
        <f>O48*$AF100</f>
        <v>0</v>
      </c>
      <c r="P100" s="2859">
        <f t="shared" ref="P100:P101" si="83">P48*$AF100</f>
        <v>0</v>
      </c>
      <c r="Q100" s="2860">
        <f>S100-R100</f>
        <v>0</v>
      </c>
      <c r="R100" s="2859">
        <f>R48*$AF100</f>
        <v>0</v>
      </c>
      <c r="S100" s="2859">
        <f t="shared" ref="S100:S101" si="84">S48*$AF100</f>
        <v>0</v>
      </c>
      <c r="T100" s="2860">
        <f>V100-U100</f>
        <v>0</v>
      </c>
      <c r="U100" s="2859">
        <f>U48*$AF100</f>
        <v>0</v>
      </c>
      <c r="V100" s="2861">
        <f t="shared" ref="V100" si="85">V48*$AF100</f>
        <v>0</v>
      </c>
      <c r="W100" s="630"/>
      <c r="X100" s="630"/>
      <c r="Y100" s="613"/>
      <c r="Z100" s="613"/>
      <c r="AA100" s="613"/>
      <c r="AB100" s="613"/>
      <c r="AC100" s="613"/>
      <c r="AD100" s="613"/>
      <c r="AE100" s="613"/>
      <c r="AF100" s="173">
        <f>IF(Saisies_Exploitation!E112&gt;0,1,0)</f>
        <v>0</v>
      </c>
      <c r="AG100"/>
      <c r="AH100"/>
      <c r="AI100"/>
      <c r="AJ100"/>
      <c r="AK100"/>
      <c r="AL100"/>
      <c r="AM100"/>
      <c r="AN100"/>
      <c r="AO100"/>
      <c r="AP100"/>
      <c r="AQ100"/>
    </row>
    <row r="101" spans="1:43" ht="12.75" customHeight="1" thickBot="1" x14ac:dyDescent="0.25">
      <c r="A101" s="2862" t="s">
        <v>2357</v>
      </c>
      <c r="B101" s="2863"/>
      <c r="C101" s="2863"/>
      <c r="D101" s="2864"/>
      <c r="E101" s="630"/>
      <c r="F101" s="630"/>
      <c r="G101" s="613"/>
      <c r="H101" s="613"/>
      <c r="I101" s="613"/>
      <c r="J101" s="613"/>
      <c r="K101" s="630"/>
      <c r="L101" s="630"/>
      <c r="M101" s="613"/>
      <c r="N101" s="2865">
        <f>P101-O101</f>
        <v>0</v>
      </c>
      <c r="O101" s="2866">
        <f t="shared" ref="O101" si="86">O49*$AF101</f>
        <v>0</v>
      </c>
      <c r="P101" s="2866">
        <f t="shared" si="83"/>
        <v>0</v>
      </c>
      <c r="Q101" s="2867">
        <f>S101-R101</f>
        <v>0</v>
      </c>
      <c r="R101" s="2866">
        <f t="shared" ref="R101" si="87">R49*$AF101</f>
        <v>0</v>
      </c>
      <c r="S101" s="2866">
        <f t="shared" si="84"/>
        <v>0</v>
      </c>
      <c r="T101" s="2867">
        <f>V101-U101</f>
        <v>0</v>
      </c>
      <c r="U101" s="2866">
        <f t="shared" ref="U101" si="88">U49*$AF101</f>
        <v>0</v>
      </c>
      <c r="V101" s="2868">
        <f>V49*$AF101</f>
        <v>0</v>
      </c>
      <c r="W101" s="630"/>
      <c r="X101" s="630"/>
      <c r="Y101" s="613"/>
      <c r="Z101" s="613"/>
      <c r="AA101" s="613"/>
      <c r="AB101" s="613"/>
      <c r="AC101" s="630"/>
      <c r="AD101" s="630"/>
      <c r="AE101" s="613"/>
      <c r="AF101" s="173">
        <f>IF(Saisies_Exploitation!D112&gt;0,1,0)</f>
        <v>0</v>
      </c>
      <c r="AG101"/>
      <c r="AH101"/>
      <c r="AI101"/>
      <c r="AJ101"/>
      <c r="AK101"/>
      <c r="AL101"/>
      <c r="AM101"/>
      <c r="AN101"/>
      <c r="AO101"/>
      <c r="AP101"/>
      <c r="AQ101"/>
    </row>
    <row r="102" spans="1:43" ht="12.75" customHeight="1" thickBot="1" x14ac:dyDescent="0.25">
      <c r="A102" s="1596"/>
      <c r="B102" s="1596"/>
      <c r="C102" s="1596"/>
      <c r="D102"/>
      <c r="E102"/>
      <c r="F102"/>
      <c r="G102" s="1686"/>
      <c r="H102" s="1686"/>
      <c r="I102" s="1686"/>
      <c r="J102" s="1686"/>
      <c r="K102"/>
      <c r="L102"/>
      <c r="M102" s="1686"/>
      <c r="N102"/>
      <c r="O102"/>
      <c r="P102" s="1686"/>
      <c r="Q102" s="1686"/>
      <c r="R102" s="1686"/>
      <c r="S102" s="1686"/>
      <c r="T102"/>
      <c r="U102"/>
      <c r="V102" s="1686"/>
      <c r="W102"/>
      <c r="X102"/>
      <c r="Y102" s="1686"/>
      <c r="Z102" s="1686"/>
      <c r="AA102" s="1686"/>
      <c r="AB102" s="1686"/>
      <c r="AC102"/>
      <c r="AD102"/>
      <c r="AE102" s="1686"/>
      <c r="AF102"/>
      <c r="AG102"/>
      <c r="AH102"/>
      <c r="AI102"/>
      <c r="AJ102"/>
      <c r="AK102"/>
      <c r="AL102"/>
      <c r="AM102"/>
      <c r="AN102"/>
      <c r="AO102"/>
      <c r="AP102"/>
      <c r="AQ102"/>
    </row>
    <row r="103" spans="1:43" ht="13.5" thickTop="1" x14ac:dyDescent="0.2">
      <c r="A103" s="52" t="s">
        <v>502</v>
      </c>
      <c r="B103" s="55">
        <v>1</v>
      </c>
      <c r="C103" s="56"/>
      <c r="D103" s="114"/>
      <c r="E103" s="105">
        <f>G103-F103</f>
        <v>0</v>
      </c>
      <c r="F103" s="55">
        <f>F50*$AF103</f>
        <v>0</v>
      </c>
      <c r="G103" s="115">
        <f>G50*$AF103</f>
        <v>0</v>
      </c>
      <c r="H103" s="210">
        <f>J103-I103</f>
        <v>0</v>
      </c>
      <c r="I103" s="118">
        <f>I50*$AF103</f>
        <v>0</v>
      </c>
      <c r="J103" s="211">
        <f>J50*$AF103</f>
        <v>0</v>
      </c>
      <c r="K103" s="118">
        <f>M103-L103</f>
        <v>0</v>
      </c>
      <c r="L103" s="118">
        <f>L50*$AF103</f>
        <v>0</v>
      </c>
      <c r="M103" s="119">
        <f>M50*$AF103</f>
        <v>0</v>
      </c>
      <c r="N103" s="159"/>
      <c r="O103" s="161"/>
      <c r="P103" s="583"/>
      <c r="Q103" s="669"/>
      <c r="R103" s="586"/>
      <c r="S103" s="667"/>
      <c r="T103" s="586"/>
      <c r="U103" s="586"/>
      <c r="V103" s="587"/>
      <c r="W103" s="159"/>
      <c r="X103" s="161"/>
      <c r="Y103" s="583"/>
      <c r="Z103" s="669"/>
      <c r="AA103" s="586"/>
      <c r="AB103" s="667"/>
      <c r="AC103" s="586"/>
      <c r="AD103" s="586"/>
      <c r="AE103" s="587"/>
      <c r="AF103" s="173">
        <f>IF(EN_NbTaurilait&gt;0,1,0)</f>
        <v>0</v>
      </c>
      <c r="AG103"/>
      <c r="AH103"/>
      <c r="AI103"/>
      <c r="AJ103"/>
      <c r="AK103"/>
      <c r="AL103"/>
      <c r="AM103"/>
      <c r="AN103"/>
      <c r="AO103"/>
      <c r="AP103"/>
      <c r="AQ103"/>
    </row>
    <row r="104" spans="1:43" ht="13.5" thickBot="1" x14ac:dyDescent="0.25">
      <c r="A104" s="262"/>
      <c r="B104" s="168">
        <v>2</v>
      </c>
      <c r="C104" s="588"/>
      <c r="D104" s="170"/>
      <c r="E104" s="591">
        <f>G104-F104</f>
        <v>0</v>
      </c>
      <c r="F104" s="168">
        <f>F51*$AF104</f>
        <v>0</v>
      </c>
      <c r="G104" s="168">
        <f>G51*$AF104</f>
        <v>0</v>
      </c>
      <c r="H104" s="222">
        <f>J104-I104</f>
        <v>0</v>
      </c>
      <c r="I104" s="223">
        <f>I51*$AF104</f>
        <v>0</v>
      </c>
      <c r="J104" s="224">
        <f>J51*$AF104</f>
        <v>0</v>
      </c>
      <c r="K104" s="223">
        <f>M104-L104</f>
        <v>0</v>
      </c>
      <c r="L104" s="223">
        <f>L51*$AF104</f>
        <v>0</v>
      </c>
      <c r="M104" s="225">
        <f>M51*$AF104</f>
        <v>0</v>
      </c>
      <c r="N104" s="166"/>
      <c r="O104" s="167"/>
      <c r="P104" s="167"/>
      <c r="Q104" s="663"/>
      <c r="R104" s="169"/>
      <c r="S104" s="668"/>
      <c r="T104" s="169"/>
      <c r="U104" s="169"/>
      <c r="V104" s="592"/>
      <c r="W104" s="166"/>
      <c r="X104" s="167"/>
      <c r="Y104" s="167"/>
      <c r="Z104" s="663"/>
      <c r="AA104" s="169"/>
      <c r="AB104" s="668"/>
      <c r="AC104" s="169"/>
      <c r="AD104" s="169"/>
      <c r="AE104" s="592"/>
      <c r="AF104" s="173">
        <f>AF103</f>
        <v>0</v>
      </c>
      <c r="AG104"/>
      <c r="AH104"/>
      <c r="AI104"/>
      <c r="AJ104"/>
      <c r="AK104"/>
      <c r="AL104"/>
      <c r="AM104"/>
      <c r="AN104"/>
      <c r="AO104"/>
      <c r="AP104"/>
      <c r="AQ104"/>
    </row>
    <row r="105" spans="1:43" ht="3" customHeight="1" thickTop="1" thickBot="1" x14ac:dyDescent="0.25">
      <c r="A105" s="73"/>
      <c r="B105" s="73"/>
      <c r="C105" s="73"/>
      <c r="D105"/>
      <c r="E105"/>
      <c r="F105"/>
      <c r="G105"/>
      <c r="H105" s="604"/>
      <c r="I105" s="605"/>
      <c r="J105" s="606"/>
      <c r="K105"/>
      <c r="L105"/>
      <c r="M105"/>
      <c r="N105"/>
      <c r="O105"/>
      <c r="P105"/>
      <c r="Q105" s="604"/>
      <c r="R105" s="605"/>
      <c r="S105" s="606"/>
      <c r="T105"/>
      <c r="U105"/>
      <c r="V105"/>
      <c r="W105"/>
      <c r="X105"/>
      <c r="Y105"/>
      <c r="Z105" s="604"/>
      <c r="AA105" s="605"/>
      <c r="AB105" s="606"/>
      <c r="AC105"/>
      <c r="AD105"/>
      <c r="AE105"/>
      <c r="AF105"/>
      <c r="AG105"/>
      <c r="AH105"/>
      <c r="AI105"/>
      <c r="AJ105"/>
      <c r="AK105"/>
      <c r="AL105"/>
      <c r="AM105"/>
      <c r="AN105"/>
      <c r="AO105"/>
      <c r="AP105"/>
      <c r="AQ105"/>
    </row>
    <row r="106" spans="1:43" ht="14.25" thickTop="1" thickBot="1" x14ac:dyDescent="0.25">
      <c r="A106" s="89" t="s">
        <v>501</v>
      </c>
      <c r="B106" s="90" t="s">
        <v>383</v>
      </c>
      <c r="C106" s="90"/>
      <c r="D106" s="155" t="s">
        <v>183</v>
      </c>
      <c r="E106" s="156">
        <f>G106-F106</f>
        <v>0</v>
      </c>
      <c r="F106" s="156">
        <f>F52*F$107*$AF106</f>
        <v>0</v>
      </c>
      <c r="G106" s="156">
        <f>G52*G$107*$AF106</f>
        <v>0</v>
      </c>
      <c r="H106" s="218">
        <f>J106-I106</f>
        <v>0</v>
      </c>
      <c r="I106" s="157">
        <f>I52*I$107*$AF106</f>
        <v>0</v>
      </c>
      <c r="J106" s="220">
        <f>J52*J$107*$AF106</f>
        <v>0</v>
      </c>
      <c r="K106" s="156">
        <f>M106-L106</f>
        <v>0</v>
      </c>
      <c r="L106" s="157">
        <f>L52*L$107*$AF106</f>
        <v>0</v>
      </c>
      <c r="M106" s="181">
        <f>M52*M$107*$AF106</f>
        <v>0</v>
      </c>
      <c r="N106" s="156">
        <f>P106-O106</f>
        <v>0</v>
      </c>
      <c r="O106" s="156">
        <f>O52*O$107*$AF106</f>
        <v>0</v>
      </c>
      <c r="P106" s="156">
        <f>P52*P$107*$AF106</f>
        <v>0</v>
      </c>
      <c r="Q106" s="218">
        <f>S106-R106</f>
        <v>0</v>
      </c>
      <c r="R106" s="157">
        <f>R52*R$107*$AF106</f>
        <v>0</v>
      </c>
      <c r="S106" s="220">
        <f>S52*S$107*$AF106</f>
        <v>0</v>
      </c>
      <c r="T106" s="156">
        <f>V106-U106</f>
        <v>0</v>
      </c>
      <c r="U106" s="157">
        <f>U52*U$107*$AF106</f>
        <v>0</v>
      </c>
      <c r="V106" s="181">
        <f>V52*V$107*$AF106</f>
        <v>0</v>
      </c>
      <c r="W106" s="156">
        <f>Y106-X106</f>
        <v>0</v>
      </c>
      <c r="X106" s="156">
        <f>X52*X$107*$AF106</f>
        <v>0</v>
      </c>
      <c r="Y106" s="156">
        <f>Y52*Y$107*$AF106</f>
        <v>0</v>
      </c>
      <c r="Z106" s="218">
        <f>AB106-AA106</f>
        <v>0</v>
      </c>
      <c r="AA106" s="157">
        <f>AA52*AA$107*$AF106</f>
        <v>0</v>
      </c>
      <c r="AB106" s="220">
        <f>AB52*AB$107*$AF106</f>
        <v>0</v>
      </c>
      <c r="AC106" s="156">
        <f>AE106-AD106</f>
        <v>0</v>
      </c>
      <c r="AD106" s="157">
        <f>AD52*AD$107*$AF106</f>
        <v>0</v>
      </c>
      <c r="AE106" s="181">
        <f>AE52*AE$107*$AF106</f>
        <v>0</v>
      </c>
      <c r="AF106" s="173">
        <f>IF(EN_NbTauril&gt;0,1,0)</f>
        <v>0</v>
      </c>
    </row>
    <row r="107" spans="1:43" ht="13.5" thickTop="1" x14ac:dyDescent="0.2">
      <c r="A107" s="53"/>
      <c r="B107" s="53"/>
      <c r="C107" s="53"/>
      <c r="D107" s="174" t="s">
        <v>360</v>
      </c>
      <c r="E107" s="175">
        <f>IF(EN_FormTauri=1,1,0)</f>
        <v>1</v>
      </c>
      <c r="F107" s="175">
        <f>$E107</f>
        <v>1</v>
      </c>
      <c r="G107" s="175">
        <f t="shared" ref="G107:M107" si="89">$E107</f>
        <v>1</v>
      </c>
      <c r="H107" s="175">
        <f t="shared" si="89"/>
        <v>1</v>
      </c>
      <c r="I107" s="175">
        <f t="shared" si="89"/>
        <v>1</v>
      </c>
      <c r="J107" s="175">
        <f t="shared" si="89"/>
        <v>1</v>
      </c>
      <c r="K107" s="175">
        <f t="shared" si="89"/>
        <v>1</v>
      </c>
      <c r="L107" s="175">
        <f t="shared" si="89"/>
        <v>1</v>
      </c>
      <c r="M107" s="652">
        <f t="shared" si="89"/>
        <v>1</v>
      </c>
      <c r="N107" s="175">
        <f>IF(EN_FormTauri=2,1,0)</f>
        <v>0</v>
      </c>
      <c r="O107" s="175">
        <f t="shared" ref="O107:V107" si="90">$N107</f>
        <v>0</v>
      </c>
      <c r="P107" s="175">
        <f t="shared" si="90"/>
        <v>0</v>
      </c>
      <c r="Q107" s="175">
        <f t="shared" si="90"/>
        <v>0</v>
      </c>
      <c r="R107" s="175">
        <f t="shared" si="90"/>
        <v>0</v>
      </c>
      <c r="S107" s="175">
        <f t="shared" si="90"/>
        <v>0</v>
      </c>
      <c r="T107" s="175">
        <f t="shared" si="90"/>
        <v>0</v>
      </c>
      <c r="U107" s="175">
        <f t="shared" si="90"/>
        <v>0</v>
      </c>
      <c r="V107" s="652">
        <f t="shared" si="90"/>
        <v>0</v>
      </c>
      <c r="W107" s="175">
        <f>IF(EN_FormTauri=3,1,0)</f>
        <v>0</v>
      </c>
      <c r="X107" s="175">
        <f t="shared" ref="X107:AE107" si="91">$W107</f>
        <v>0</v>
      </c>
      <c r="Y107" s="175">
        <f t="shared" si="91"/>
        <v>0</v>
      </c>
      <c r="Z107" s="175">
        <f t="shared" si="91"/>
        <v>0</v>
      </c>
      <c r="AA107" s="175">
        <f t="shared" si="91"/>
        <v>0</v>
      </c>
      <c r="AB107" s="175">
        <f t="shared" si="91"/>
        <v>0</v>
      </c>
      <c r="AC107" s="175">
        <f t="shared" si="91"/>
        <v>0</v>
      </c>
      <c r="AD107" s="175">
        <f t="shared" si="91"/>
        <v>0</v>
      </c>
      <c r="AE107" s="652">
        <f t="shared" si="91"/>
        <v>0</v>
      </c>
      <c r="AF107" s="176"/>
    </row>
    <row r="108" spans="1:43" ht="3" customHeight="1" thickBot="1" x14ac:dyDescent="0.25">
      <c r="A108" s="1596"/>
      <c r="B108" s="1596"/>
      <c r="C108" s="1596"/>
      <c r="D108" s="1596"/>
      <c r="E108" s="1596"/>
      <c r="F108" s="1596"/>
      <c r="G108" s="1596"/>
      <c r="H108" s="1596"/>
      <c r="I108" s="1596"/>
      <c r="J108" s="1596"/>
      <c r="K108" s="1596"/>
      <c r="L108" s="1596"/>
      <c r="M108" s="62"/>
      <c r="N108" s="1596"/>
      <c r="O108" s="1596"/>
      <c r="P108" s="1596"/>
      <c r="Q108" s="1596"/>
      <c r="R108" s="1596"/>
      <c r="S108" s="1596"/>
      <c r="T108" s="1596"/>
      <c r="U108" s="1596"/>
      <c r="V108" s="62"/>
      <c r="W108" s="1596"/>
      <c r="X108" s="1596"/>
      <c r="Y108" s="1596"/>
      <c r="Z108" s="1596"/>
      <c r="AA108" s="1596"/>
      <c r="AB108" s="1596"/>
      <c r="AC108" s="1596"/>
      <c r="AD108" s="1596"/>
      <c r="AE108" s="62"/>
      <c r="AF108" s="176"/>
    </row>
    <row r="109" spans="1:43" ht="13.5" customHeight="1" x14ac:dyDescent="0.2">
      <c r="A109" s="2855" t="s">
        <v>2353</v>
      </c>
      <c r="B109" s="2856"/>
      <c r="C109" s="2856"/>
      <c r="D109" s="2869"/>
      <c r="E109" s="2842"/>
      <c r="F109" s="184"/>
      <c r="G109" s="184"/>
      <c r="H109" s="184"/>
      <c r="I109" s="184"/>
      <c r="J109" s="184"/>
      <c r="K109" s="184"/>
      <c r="L109" s="184"/>
      <c r="M109" s="2843"/>
      <c r="N109" s="2858">
        <f>P109-O109</f>
        <v>0</v>
      </c>
      <c r="O109" s="2859">
        <f>O53*$AF109</f>
        <v>0</v>
      </c>
      <c r="P109" s="2859">
        <f>P53*$AF109</f>
        <v>0</v>
      </c>
      <c r="Q109" s="2860">
        <f>S109-R109</f>
        <v>0</v>
      </c>
      <c r="R109" s="2859">
        <f>R53*$AF109</f>
        <v>0</v>
      </c>
      <c r="S109" s="2859">
        <f>S53*$AF109</f>
        <v>0</v>
      </c>
      <c r="T109" s="2860">
        <f>V109-U109</f>
        <v>0</v>
      </c>
      <c r="U109" s="2859">
        <f>U53*$AF109</f>
        <v>0</v>
      </c>
      <c r="V109" s="2861">
        <f>V53*$AF109</f>
        <v>0</v>
      </c>
      <c r="W109" s="2842"/>
      <c r="X109" s="184"/>
      <c r="Y109" s="184"/>
      <c r="Z109" s="184"/>
      <c r="AA109" s="184"/>
      <c r="AB109" s="184"/>
      <c r="AC109" s="184"/>
      <c r="AD109" s="184"/>
      <c r="AE109" s="184"/>
      <c r="AF109" s="173">
        <f>IF(Saisies_Exploitation!E91&gt;0,1,0)</f>
        <v>0</v>
      </c>
    </row>
    <row r="110" spans="1:43" ht="13.5" customHeight="1" thickBot="1" x14ac:dyDescent="0.25">
      <c r="A110" s="2862" t="s">
        <v>2354</v>
      </c>
      <c r="B110" s="2863"/>
      <c r="C110" s="2863"/>
      <c r="D110" s="2870"/>
      <c r="E110" s="2844"/>
      <c r="F110" s="2845"/>
      <c r="G110" s="2845"/>
      <c r="H110" s="2845"/>
      <c r="I110" s="2845"/>
      <c r="J110" s="2845"/>
      <c r="K110" s="2845"/>
      <c r="L110" s="2845"/>
      <c r="M110" s="2846"/>
      <c r="N110" s="2865">
        <f>P110-O110</f>
        <v>0</v>
      </c>
      <c r="O110" s="2866">
        <f>O54*$AF110</f>
        <v>0</v>
      </c>
      <c r="P110" s="2866">
        <f>P54*$AF110</f>
        <v>0</v>
      </c>
      <c r="Q110" s="2867">
        <f>S110-R110</f>
        <v>0</v>
      </c>
      <c r="R110" s="2866">
        <f>R54*$AF110</f>
        <v>0</v>
      </c>
      <c r="S110" s="2866">
        <f>S54*$AF110</f>
        <v>0</v>
      </c>
      <c r="T110" s="2867">
        <f>V110-U110</f>
        <v>0</v>
      </c>
      <c r="U110" s="2866">
        <f>U54*$AF110</f>
        <v>0</v>
      </c>
      <c r="V110" s="2868">
        <f>V54*$AF110</f>
        <v>0</v>
      </c>
      <c r="W110" s="2844"/>
      <c r="X110" s="2845"/>
      <c r="Y110" s="2845"/>
      <c r="Z110" s="2845"/>
      <c r="AA110" s="2845"/>
      <c r="AB110" s="2845"/>
      <c r="AC110" s="2845"/>
      <c r="AD110" s="2845"/>
      <c r="AE110" s="2845"/>
      <c r="AF110" s="173">
        <f>IF(Saisies_Exploitation!D91&gt;0,1,0)</f>
        <v>0</v>
      </c>
    </row>
    <row r="111" spans="1:43" ht="13.5" customHeight="1" thickTop="1" x14ac:dyDescent="0.2">
      <c r="A111" s="61" t="s">
        <v>390</v>
      </c>
      <c r="B111" s="1596"/>
      <c r="C111" s="1596"/>
      <c r="D111" s="356"/>
      <c r="E111" s="159"/>
      <c r="F111" s="160"/>
      <c r="G111" s="161"/>
      <c r="H111" s="584"/>
      <c r="I111" s="161"/>
      <c r="J111" s="585"/>
      <c r="K111" s="161"/>
      <c r="L111" s="161"/>
      <c r="M111" s="114"/>
      <c r="N111" s="125"/>
      <c r="O111" s="1596"/>
      <c r="P111" s="68"/>
      <c r="Q111" s="126"/>
      <c r="R111" s="68"/>
      <c r="S111" s="127"/>
      <c r="T111" s="68"/>
      <c r="U111" s="68"/>
      <c r="V111" s="124"/>
      <c r="W111" s="159"/>
      <c r="X111" s="160"/>
      <c r="Y111" s="161"/>
      <c r="Z111" s="584"/>
      <c r="AA111" s="161"/>
      <c r="AB111" s="585"/>
      <c r="AC111" s="161"/>
      <c r="AD111" s="161"/>
      <c r="AE111" s="114"/>
      <c r="AF111" s="176"/>
      <c r="AG111" s="1920" t="s">
        <v>1682</v>
      </c>
      <c r="AH111" s="1920" t="s">
        <v>244</v>
      </c>
    </row>
    <row r="112" spans="1:43" x14ac:dyDescent="0.2">
      <c r="A112" s="94" t="s">
        <v>388</v>
      </c>
      <c r="B112" s="46"/>
      <c r="C112" s="46"/>
      <c r="D112" s="109" t="s">
        <v>386</v>
      </c>
      <c r="E112" s="163"/>
      <c r="F112" s="164"/>
      <c r="G112" s="164"/>
      <c r="H112" s="549"/>
      <c r="I112" s="165"/>
      <c r="J112" s="659"/>
      <c r="K112" s="165"/>
      <c r="L112" s="165"/>
      <c r="M112" s="144"/>
      <c r="N112" s="903">
        <f t="shared" ref="N112:N117" si="92">P112-O112</f>
        <v>0</v>
      </c>
      <c r="O112" s="186">
        <f t="shared" ref="O112:O117" si="93">O56*$AF112*$AG112</f>
        <v>0</v>
      </c>
      <c r="P112" s="186">
        <f t="shared" ref="P112:P117" si="94">P56*$AF112*$AH112</f>
        <v>0</v>
      </c>
      <c r="Q112" s="905">
        <f t="shared" ref="Q112:Q117" si="95">S112-R112</f>
        <v>0</v>
      </c>
      <c r="R112" s="187">
        <f t="shared" ref="R112:R117" si="96">R56*$AF112*$AG112</f>
        <v>0</v>
      </c>
      <c r="S112" s="1026">
        <f t="shared" ref="S112:S117" si="97">S56*$AF112*$AH112</f>
        <v>0</v>
      </c>
      <c r="T112" s="187">
        <f t="shared" ref="T112:T117" si="98">V112-U112</f>
        <v>0</v>
      </c>
      <c r="U112" s="187">
        <f t="shared" ref="U112:U117" si="99">U56*$AF112*$AG112</f>
        <v>0</v>
      </c>
      <c r="V112" s="906">
        <f t="shared" ref="V112:V117" si="100">V56*$AF112*$AH112</f>
        <v>0</v>
      </c>
      <c r="W112" s="163"/>
      <c r="X112" s="164"/>
      <c r="Y112" s="164"/>
      <c r="Z112" s="549"/>
      <c r="AA112" s="165"/>
      <c r="AB112" s="659"/>
      <c r="AC112" s="165"/>
      <c r="AD112" s="165"/>
      <c r="AE112" s="144"/>
      <c r="AF112" s="173">
        <f>IF(AND(EN_NbVaRefV&gt;0,AEN_VaRefV=1),1,0)</f>
        <v>0</v>
      </c>
      <c r="AG112" s="851">
        <f>EN_NbMoVaVHe</f>
        <v>3</v>
      </c>
      <c r="AH112" s="851">
        <f>EN_NbMoVaV</f>
        <v>3</v>
      </c>
      <c r="AI112" s="851" t="s">
        <v>392</v>
      </c>
      <c r="AJ112" s="851"/>
      <c r="AK112" s="851"/>
      <c r="AL112" s="851"/>
    </row>
    <row r="113" spans="1:38" x14ac:dyDescent="0.2">
      <c r="A113" s="61"/>
      <c r="B113" s="46"/>
      <c r="C113" s="46"/>
      <c r="D113" s="109" t="s">
        <v>387</v>
      </c>
      <c r="E113" s="163"/>
      <c r="F113" s="164"/>
      <c r="G113" s="164"/>
      <c r="H113" s="549"/>
      <c r="I113" s="165"/>
      <c r="J113" s="659"/>
      <c r="K113" s="165"/>
      <c r="L113" s="165"/>
      <c r="M113" s="144"/>
      <c r="N113" s="903">
        <f t="shared" si="92"/>
        <v>0</v>
      </c>
      <c r="O113" s="186">
        <f t="shared" si="93"/>
        <v>0</v>
      </c>
      <c r="P113" s="186">
        <f t="shared" si="94"/>
        <v>0</v>
      </c>
      <c r="Q113" s="905">
        <f t="shared" si="95"/>
        <v>0</v>
      </c>
      <c r="R113" s="187">
        <f t="shared" si="96"/>
        <v>0</v>
      </c>
      <c r="S113" s="1026">
        <f t="shared" si="97"/>
        <v>0</v>
      </c>
      <c r="T113" s="187">
        <f t="shared" si="98"/>
        <v>0</v>
      </c>
      <c r="U113" s="187">
        <f t="shared" si="99"/>
        <v>0</v>
      </c>
      <c r="V113" s="906">
        <f t="shared" si="100"/>
        <v>0</v>
      </c>
      <c r="W113" s="163"/>
      <c r="X113" s="164"/>
      <c r="Y113" s="164"/>
      <c r="Z113" s="549"/>
      <c r="AA113" s="165"/>
      <c r="AB113" s="659"/>
      <c r="AC113" s="165"/>
      <c r="AD113" s="165"/>
      <c r="AE113" s="144"/>
      <c r="AF113" s="173">
        <f>IF(AND(EN_NbVaRefV&gt;0,AEN_VaRefV=2),1,0)</f>
        <v>0</v>
      </c>
      <c r="AG113" s="32">
        <f>AG$112</f>
        <v>3</v>
      </c>
      <c r="AH113" s="32">
        <f>AH$112</f>
        <v>3</v>
      </c>
    </row>
    <row r="114" spans="1:38" x14ac:dyDescent="0.2">
      <c r="A114" s="61"/>
      <c r="B114" s="46"/>
      <c r="C114" s="46"/>
      <c r="D114" s="109" t="s">
        <v>255</v>
      </c>
      <c r="E114" s="163"/>
      <c r="F114" s="164"/>
      <c r="G114" s="164"/>
      <c r="H114" s="549"/>
      <c r="I114" s="165"/>
      <c r="J114" s="659"/>
      <c r="K114" s="165"/>
      <c r="L114" s="165"/>
      <c r="M114" s="144"/>
      <c r="N114" s="903">
        <f t="shared" si="92"/>
        <v>0</v>
      </c>
      <c r="O114" s="186">
        <f t="shared" si="93"/>
        <v>27</v>
      </c>
      <c r="P114" s="186">
        <f t="shared" si="94"/>
        <v>27</v>
      </c>
      <c r="Q114" s="905">
        <f t="shared" si="95"/>
        <v>0</v>
      </c>
      <c r="R114" s="187">
        <f t="shared" si="96"/>
        <v>9.99</v>
      </c>
      <c r="S114" s="1026">
        <f t="shared" si="97"/>
        <v>9.99</v>
      </c>
      <c r="T114" s="187">
        <f t="shared" si="98"/>
        <v>0</v>
      </c>
      <c r="U114" s="187">
        <f t="shared" si="99"/>
        <v>27.900000000000002</v>
      </c>
      <c r="V114" s="906">
        <f t="shared" si="100"/>
        <v>27.900000000000002</v>
      </c>
      <c r="W114" s="163"/>
      <c r="X114" s="164"/>
      <c r="Y114" s="164"/>
      <c r="Z114" s="549"/>
      <c r="AA114" s="165"/>
      <c r="AB114" s="659"/>
      <c r="AC114" s="165"/>
      <c r="AD114" s="165"/>
      <c r="AE114" s="144"/>
      <c r="AF114" s="173">
        <f>IF(AND(EN_NbVaRefV&gt;0,AEN_VaRefV=3),1,0)</f>
        <v>1</v>
      </c>
      <c r="AG114" s="32">
        <f>AG$112</f>
        <v>3</v>
      </c>
      <c r="AH114" s="32">
        <f>AH$112</f>
        <v>3</v>
      </c>
    </row>
    <row r="115" spans="1:38" x14ac:dyDescent="0.2">
      <c r="A115" s="717" t="s">
        <v>389</v>
      </c>
      <c r="B115" s="227"/>
      <c r="C115" s="227"/>
      <c r="D115" s="718"/>
      <c r="E115" s="719"/>
      <c r="F115" s="720"/>
      <c r="G115" s="720"/>
      <c r="H115" s="546"/>
      <c r="I115" s="547"/>
      <c r="J115" s="721"/>
      <c r="K115" s="547"/>
      <c r="L115" s="547"/>
      <c r="M115" s="722"/>
      <c r="N115" s="898">
        <f t="shared" si="92"/>
        <v>0</v>
      </c>
      <c r="O115" s="493">
        <f t="shared" si="93"/>
        <v>0</v>
      </c>
      <c r="P115" s="493">
        <f t="shared" si="94"/>
        <v>0</v>
      </c>
      <c r="Q115" s="900">
        <f t="shared" si="95"/>
        <v>0</v>
      </c>
      <c r="R115" s="901">
        <f t="shared" si="96"/>
        <v>0</v>
      </c>
      <c r="S115" s="1025">
        <f t="shared" si="97"/>
        <v>0</v>
      </c>
      <c r="T115" s="901">
        <f t="shared" si="98"/>
        <v>0</v>
      </c>
      <c r="U115" s="901">
        <f t="shared" si="99"/>
        <v>0</v>
      </c>
      <c r="V115" s="902">
        <f t="shared" si="100"/>
        <v>0</v>
      </c>
      <c r="W115" s="719"/>
      <c r="X115" s="720"/>
      <c r="Y115" s="720"/>
      <c r="Z115" s="546"/>
      <c r="AA115" s="547"/>
      <c r="AB115" s="721"/>
      <c r="AC115" s="547"/>
      <c r="AD115" s="547"/>
      <c r="AE115" s="722"/>
      <c r="AF115" s="173">
        <f>IF(AND(EN_NbVaRefL&gt;0,AEN_VaRefL=1),1,0)</f>
        <v>0</v>
      </c>
      <c r="AG115" s="851">
        <f>EN_NbMoVaLHe</f>
        <v>3</v>
      </c>
      <c r="AH115" s="851">
        <f>EN_NbMoVaL</f>
        <v>4</v>
      </c>
      <c r="AI115" s="851" t="s">
        <v>393</v>
      </c>
      <c r="AJ115" s="851"/>
      <c r="AK115" s="851"/>
      <c r="AL115" s="851"/>
    </row>
    <row r="116" spans="1:38" x14ac:dyDescent="0.2">
      <c r="A116" s="94"/>
      <c r="B116" s="46"/>
      <c r="C116" s="46"/>
      <c r="D116" s="46"/>
      <c r="E116" s="163"/>
      <c r="F116" s="164"/>
      <c r="G116" s="164"/>
      <c r="H116" s="549"/>
      <c r="I116" s="165"/>
      <c r="J116" s="659"/>
      <c r="K116" s="165"/>
      <c r="L116" s="165"/>
      <c r="M116" s="144"/>
      <c r="N116" s="186">
        <f t="shared" si="92"/>
        <v>0</v>
      </c>
      <c r="O116" s="186">
        <f t="shared" si="93"/>
        <v>0</v>
      </c>
      <c r="P116" s="186">
        <f t="shared" si="94"/>
        <v>0</v>
      </c>
      <c r="Q116" s="905">
        <f t="shared" si="95"/>
        <v>0</v>
      </c>
      <c r="R116" s="187">
        <f t="shared" si="96"/>
        <v>0</v>
      </c>
      <c r="S116" s="1026">
        <f t="shared" si="97"/>
        <v>0</v>
      </c>
      <c r="T116" s="187">
        <f t="shared" si="98"/>
        <v>0</v>
      </c>
      <c r="U116" s="187">
        <f t="shared" si="99"/>
        <v>0</v>
      </c>
      <c r="V116" s="187">
        <f t="shared" si="100"/>
        <v>0</v>
      </c>
      <c r="W116" s="163"/>
      <c r="X116" s="164"/>
      <c r="Y116" s="164"/>
      <c r="Z116" s="549"/>
      <c r="AA116" s="165"/>
      <c r="AB116" s="659"/>
      <c r="AC116" s="165"/>
      <c r="AD116" s="165"/>
      <c r="AE116" s="144"/>
      <c r="AF116" s="173">
        <f>IF(AND(EN_NbVaRefL&gt;0,AEN_VaRefL=2),1,0)</f>
        <v>0</v>
      </c>
      <c r="AG116">
        <f>AG$115</f>
        <v>3</v>
      </c>
      <c r="AH116">
        <f>AH$115</f>
        <v>4</v>
      </c>
      <c r="AI116"/>
      <c r="AJ116"/>
      <c r="AK116"/>
      <c r="AL116"/>
    </row>
    <row r="117" spans="1:38" ht="13.5" thickBot="1" x14ac:dyDescent="0.25">
      <c r="A117" s="726"/>
      <c r="B117" s="73"/>
      <c r="C117" s="73"/>
      <c r="D117" s="73"/>
      <c r="E117" s="724"/>
      <c r="F117" s="580"/>
      <c r="G117" s="580"/>
      <c r="H117" s="725"/>
      <c r="I117" s="581"/>
      <c r="J117" s="664"/>
      <c r="K117" s="581"/>
      <c r="L117" s="581"/>
      <c r="M117" s="582"/>
      <c r="N117" s="1029">
        <f t="shared" si="92"/>
        <v>9</v>
      </c>
      <c r="O117" s="1029">
        <f t="shared" si="93"/>
        <v>27</v>
      </c>
      <c r="P117" s="1029">
        <f t="shared" si="94"/>
        <v>36</v>
      </c>
      <c r="Q117" s="1030">
        <f t="shared" si="95"/>
        <v>3.25</v>
      </c>
      <c r="R117" s="1028">
        <f t="shared" si="96"/>
        <v>9.75</v>
      </c>
      <c r="S117" s="1031">
        <f t="shared" si="97"/>
        <v>13</v>
      </c>
      <c r="T117" s="1028">
        <f t="shared" si="98"/>
        <v>12</v>
      </c>
      <c r="U117" s="1028">
        <f t="shared" si="99"/>
        <v>36</v>
      </c>
      <c r="V117" s="1028">
        <f t="shared" si="100"/>
        <v>48</v>
      </c>
      <c r="W117" s="724"/>
      <c r="X117" s="580"/>
      <c r="Y117" s="580"/>
      <c r="Z117" s="725"/>
      <c r="AA117" s="581"/>
      <c r="AB117" s="664"/>
      <c r="AC117" s="581"/>
      <c r="AD117" s="581"/>
      <c r="AE117" s="582"/>
      <c r="AF117" s="173">
        <f>IF(AND(EN_NbVaRefL&gt;0,AEN_VaRefL=3),1,0)</f>
        <v>1</v>
      </c>
      <c r="AG117">
        <f>AG$115</f>
        <v>3</v>
      </c>
      <c r="AH117">
        <f>AH$115</f>
        <v>4</v>
      </c>
      <c r="AI117"/>
      <c r="AJ117"/>
      <c r="AK117"/>
      <c r="AL117"/>
    </row>
    <row r="118" spans="1:38" ht="13.5" thickTop="1" x14ac:dyDescent="0.2">
      <c r="A118" s="183"/>
      <c r="B118" s="184"/>
      <c r="C118" s="184"/>
      <c r="D118" s="184"/>
      <c r="E118" s="36"/>
      <c r="F118" s="36"/>
      <c r="G118" s="36"/>
      <c r="H118" s="36"/>
      <c r="I118" s="36"/>
      <c r="J118" s="36"/>
      <c r="K118" s="185"/>
      <c r="L118" s="185"/>
      <c r="M118" s="36"/>
      <c r="N118" s="186"/>
      <c r="O118" s="186"/>
      <c r="P118" s="186"/>
      <c r="Q118" s="36"/>
      <c r="R118" s="36"/>
      <c r="S118" s="36"/>
      <c r="T118" s="187"/>
      <c r="U118" s="187"/>
      <c r="V118" s="186"/>
      <c r="W118" s="36"/>
      <c r="X118" s="36"/>
      <c r="Y118" s="36"/>
      <c r="Z118" s="36"/>
      <c r="AA118" s="36"/>
      <c r="AB118" s="36"/>
      <c r="AC118" s="185"/>
      <c r="AD118" s="185"/>
      <c r="AE118" s="36"/>
      <c r="AF118" s="188"/>
      <c r="AG118" s="188"/>
      <c r="AH118" s="188"/>
      <c r="AI118" s="188"/>
    </row>
    <row r="119" spans="1:38" ht="13.5" thickBot="1" x14ac:dyDescent="0.25">
      <c r="P119" s="46"/>
      <c r="S119" s="46"/>
      <c r="U119" s="189"/>
      <c r="V119" s="33" t="s">
        <v>119</v>
      </c>
    </row>
    <row r="120" spans="1:38" ht="13.5" thickTop="1" x14ac:dyDescent="0.2">
      <c r="N120" s="3450" t="s">
        <v>256</v>
      </c>
      <c r="O120" s="3451"/>
      <c r="P120" s="3451"/>
      <c r="Q120" s="3452" t="s">
        <v>257</v>
      </c>
      <c r="R120" s="3451"/>
      <c r="S120" s="3453"/>
      <c r="T120" s="3451" t="s">
        <v>756</v>
      </c>
      <c r="U120" s="3451"/>
      <c r="V120" s="3454"/>
    </row>
    <row r="121" spans="1:38" x14ac:dyDescent="0.2">
      <c r="L121" s="50" t="s">
        <v>353</v>
      </c>
      <c r="M121" s="212" t="s">
        <v>381</v>
      </c>
      <c r="N121" s="110" t="s">
        <v>249</v>
      </c>
      <c r="O121" s="36" t="s">
        <v>247</v>
      </c>
      <c r="P121" s="36"/>
      <c r="Q121" s="35" t="s">
        <v>249</v>
      </c>
      <c r="R121" s="36" t="s">
        <v>247</v>
      </c>
      <c r="S121" s="37"/>
      <c r="T121" s="36" t="s">
        <v>249</v>
      </c>
      <c r="U121" s="36" t="s">
        <v>247</v>
      </c>
      <c r="V121" s="109"/>
    </row>
    <row r="122" spans="1:38" ht="13.5" thickBot="1" x14ac:dyDescent="0.25">
      <c r="L122" s="51" t="s">
        <v>354</v>
      </c>
      <c r="M122" s="126" t="s">
        <v>382</v>
      </c>
      <c r="N122" s="110" t="s">
        <v>248</v>
      </c>
      <c r="O122" s="36" t="s">
        <v>246</v>
      </c>
      <c r="P122" s="36" t="s">
        <v>244</v>
      </c>
      <c r="Q122" s="35" t="s">
        <v>248</v>
      </c>
      <c r="R122" s="36" t="s">
        <v>246</v>
      </c>
      <c r="S122" s="37" t="s">
        <v>244</v>
      </c>
      <c r="T122" s="36" t="s">
        <v>248</v>
      </c>
      <c r="U122" s="36" t="s">
        <v>246</v>
      </c>
      <c r="V122" s="109" t="s">
        <v>244</v>
      </c>
    </row>
    <row r="123" spans="1:38" ht="13.5" thickTop="1" x14ac:dyDescent="0.2">
      <c r="B123" s="851"/>
      <c r="C123" s="851"/>
      <c r="D123" s="852" t="s">
        <v>369</v>
      </c>
      <c r="E123" s="855">
        <f>EN_NbMalAn1A</f>
        <v>11</v>
      </c>
      <c r="F123" s="80" t="s">
        <v>380</v>
      </c>
      <c r="G123" s="53"/>
      <c r="H123" s="53"/>
      <c r="I123" s="53"/>
      <c r="J123" s="53"/>
      <c r="K123" s="54"/>
      <c r="L123" s="55">
        <v>1</v>
      </c>
      <c r="M123" s="584"/>
      <c r="N123" s="337">
        <f t="shared" ref="N123:V124" si="101">E68+N68+W68</f>
        <v>17</v>
      </c>
      <c r="O123" s="191">
        <f t="shared" si="101"/>
        <v>10</v>
      </c>
      <c r="P123" s="192">
        <f t="shared" si="101"/>
        <v>27</v>
      </c>
      <c r="Q123" s="193">
        <f t="shared" si="101"/>
        <v>4.5</v>
      </c>
      <c r="R123" s="194">
        <f t="shared" si="101"/>
        <v>3.5</v>
      </c>
      <c r="S123" s="195">
        <f t="shared" si="101"/>
        <v>8</v>
      </c>
      <c r="T123" s="194">
        <f t="shared" si="101"/>
        <v>12</v>
      </c>
      <c r="U123" s="194">
        <f t="shared" si="101"/>
        <v>26</v>
      </c>
      <c r="V123" s="196">
        <f t="shared" si="101"/>
        <v>38</v>
      </c>
    </row>
    <row r="124" spans="1:38" x14ac:dyDescent="0.2">
      <c r="E124" s="855">
        <f>Saisies_Exploitation!E79</f>
        <v>0</v>
      </c>
      <c r="F124" s="1641" t="s">
        <v>1341</v>
      </c>
      <c r="G124" s="46"/>
      <c r="H124" s="46"/>
      <c r="I124" s="46"/>
      <c r="J124" s="46"/>
      <c r="K124" s="62"/>
      <c r="L124" s="34">
        <v>2</v>
      </c>
      <c r="M124" s="671"/>
      <c r="N124" s="672">
        <f t="shared" si="101"/>
        <v>0</v>
      </c>
      <c r="O124" s="198">
        <f t="shared" si="101"/>
        <v>0</v>
      </c>
      <c r="P124" s="199">
        <f t="shared" si="101"/>
        <v>0</v>
      </c>
      <c r="Q124" s="200">
        <f t="shared" si="101"/>
        <v>0</v>
      </c>
      <c r="R124" s="201">
        <f t="shared" si="101"/>
        <v>0</v>
      </c>
      <c r="S124" s="202">
        <f t="shared" si="101"/>
        <v>0</v>
      </c>
      <c r="T124" s="201">
        <f t="shared" si="101"/>
        <v>0</v>
      </c>
      <c r="U124" s="201">
        <f t="shared" si="101"/>
        <v>0</v>
      </c>
      <c r="V124" s="203">
        <f t="shared" si="101"/>
        <v>0</v>
      </c>
    </row>
    <row r="125" spans="1:38" x14ac:dyDescent="0.2">
      <c r="E125" s="855">
        <f>Saisies_Exploitation!E84</f>
        <v>0</v>
      </c>
      <c r="F125" s="1641" t="s">
        <v>1342</v>
      </c>
      <c r="G125" s="46"/>
      <c r="H125" s="46"/>
      <c r="I125" s="46"/>
      <c r="J125" s="46"/>
      <c r="K125" s="62"/>
      <c r="L125" s="68">
        <v>3</v>
      </c>
      <c r="M125" s="126">
        <v>28</v>
      </c>
      <c r="N125" s="125">
        <f t="shared" ref="N125:V125" si="102">E70+E71+N70+N71+W70+W71</f>
        <v>0</v>
      </c>
      <c r="O125" s="68">
        <f t="shared" si="102"/>
        <v>0</v>
      </c>
      <c r="P125" s="68">
        <f t="shared" si="102"/>
        <v>0</v>
      </c>
      <c r="Q125" s="204">
        <f t="shared" si="102"/>
        <v>0</v>
      </c>
      <c r="R125" s="128">
        <f t="shared" si="102"/>
        <v>0</v>
      </c>
      <c r="S125" s="205">
        <f t="shared" si="102"/>
        <v>0</v>
      </c>
      <c r="T125" s="128">
        <f t="shared" si="102"/>
        <v>0</v>
      </c>
      <c r="U125" s="128">
        <f t="shared" si="102"/>
        <v>0</v>
      </c>
      <c r="V125" s="129">
        <f t="shared" si="102"/>
        <v>0</v>
      </c>
    </row>
    <row r="126" spans="1:38" x14ac:dyDescent="0.2">
      <c r="E126" s="855">
        <f>Saisies_Exploitation!E85</f>
        <v>0</v>
      </c>
      <c r="F126" s="61"/>
      <c r="G126" s="46"/>
      <c r="H126" s="46"/>
      <c r="I126" s="46"/>
      <c r="J126" s="46"/>
      <c r="K126" s="62"/>
      <c r="L126" s="68"/>
      <c r="M126" s="126">
        <v>30</v>
      </c>
      <c r="N126" s="125">
        <f t="shared" ref="N126:V126" si="103">E72+E73+N72+N73+W72+W73</f>
        <v>0</v>
      </c>
      <c r="O126" s="68">
        <f t="shared" si="103"/>
        <v>0</v>
      </c>
      <c r="P126" s="68">
        <f t="shared" si="103"/>
        <v>0</v>
      </c>
      <c r="Q126" s="204">
        <f t="shared" si="103"/>
        <v>0</v>
      </c>
      <c r="R126" s="128">
        <f t="shared" si="103"/>
        <v>0</v>
      </c>
      <c r="S126" s="205">
        <f t="shared" si="103"/>
        <v>0</v>
      </c>
      <c r="T126" s="128">
        <f t="shared" si="103"/>
        <v>0</v>
      </c>
      <c r="U126" s="128">
        <f t="shared" si="103"/>
        <v>0</v>
      </c>
      <c r="V126" s="129">
        <f t="shared" si="103"/>
        <v>0</v>
      </c>
    </row>
    <row r="127" spans="1:38" x14ac:dyDescent="0.2">
      <c r="E127" s="855">
        <f>Saisies_Exploitation!E86</f>
        <v>0</v>
      </c>
      <c r="F127" s="61"/>
      <c r="G127" s="46"/>
      <c r="H127" s="46"/>
      <c r="I127" s="46"/>
      <c r="J127" s="46"/>
      <c r="K127" s="62"/>
      <c r="L127" s="68"/>
      <c r="M127" s="126">
        <v>33</v>
      </c>
      <c r="N127" s="125">
        <f t="shared" ref="N127:V128" si="104">E74+N74+W74</f>
        <v>0</v>
      </c>
      <c r="O127" s="68">
        <f t="shared" si="104"/>
        <v>0</v>
      </c>
      <c r="P127" s="68">
        <f t="shared" si="104"/>
        <v>0</v>
      </c>
      <c r="Q127" s="204">
        <f t="shared" si="104"/>
        <v>0</v>
      </c>
      <c r="R127" s="128">
        <f t="shared" si="104"/>
        <v>0</v>
      </c>
      <c r="S127" s="205">
        <f t="shared" si="104"/>
        <v>0</v>
      </c>
      <c r="T127" s="128">
        <f t="shared" si="104"/>
        <v>0</v>
      </c>
      <c r="U127" s="128">
        <f t="shared" si="104"/>
        <v>0</v>
      </c>
      <c r="V127" s="129">
        <f t="shared" si="104"/>
        <v>0</v>
      </c>
    </row>
    <row r="128" spans="1:38" ht="13.5" thickBot="1" x14ac:dyDescent="0.25">
      <c r="E128" s="855">
        <f>Saisies_Exploitation!E87</f>
        <v>0</v>
      </c>
      <c r="F128" s="72"/>
      <c r="G128" s="73"/>
      <c r="H128" s="73"/>
      <c r="I128" s="73"/>
      <c r="J128" s="73"/>
      <c r="K128" s="74"/>
      <c r="L128" s="75"/>
      <c r="M128" s="281">
        <v>36</v>
      </c>
      <c r="N128" s="462">
        <f t="shared" si="104"/>
        <v>0</v>
      </c>
      <c r="O128" s="75">
        <f t="shared" si="104"/>
        <v>0</v>
      </c>
      <c r="P128" s="75">
        <f t="shared" si="104"/>
        <v>0</v>
      </c>
      <c r="Q128" s="206">
        <f t="shared" si="104"/>
        <v>0</v>
      </c>
      <c r="R128" s="207">
        <f t="shared" si="104"/>
        <v>0</v>
      </c>
      <c r="S128" s="208">
        <f t="shared" si="104"/>
        <v>0</v>
      </c>
      <c r="T128" s="207">
        <f t="shared" si="104"/>
        <v>0</v>
      </c>
      <c r="U128" s="207">
        <f t="shared" si="104"/>
        <v>0</v>
      </c>
      <c r="V128" s="209">
        <f t="shared" si="104"/>
        <v>0</v>
      </c>
    </row>
    <row r="129" spans="5:22" ht="13.5" thickTop="1" x14ac:dyDescent="0.2">
      <c r="E129" s="855">
        <f>EN_NbMalAn1L</f>
        <v>0</v>
      </c>
      <c r="F129" s="80" t="s">
        <v>380</v>
      </c>
      <c r="G129" s="1596"/>
      <c r="H129" s="1596"/>
      <c r="I129" s="1596"/>
      <c r="J129" s="1596"/>
      <c r="K129" s="1596"/>
      <c r="L129" s="440">
        <v>1</v>
      </c>
      <c r="M129" s="584"/>
      <c r="N129" s="125">
        <f>N78</f>
        <v>0</v>
      </c>
      <c r="O129" s="68">
        <f t="shared" ref="O129:V129" si="105">O78</f>
        <v>0</v>
      </c>
      <c r="P129" s="68">
        <f t="shared" si="105"/>
        <v>0</v>
      </c>
      <c r="Q129" s="204">
        <f t="shared" si="105"/>
        <v>0</v>
      </c>
      <c r="R129" s="128">
        <f t="shared" si="105"/>
        <v>0</v>
      </c>
      <c r="S129" s="205">
        <f t="shared" si="105"/>
        <v>0</v>
      </c>
      <c r="T129" s="128">
        <f t="shared" si="105"/>
        <v>0</v>
      </c>
      <c r="U129" s="128">
        <f t="shared" si="105"/>
        <v>0</v>
      </c>
      <c r="V129" s="129">
        <f t="shared" si="105"/>
        <v>0</v>
      </c>
    </row>
    <row r="130" spans="5:22" x14ac:dyDescent="0.2">
      <c r="E130" s="855">
        <f>Saisies_Exploitation!D79</f>
        <v>0</v>
      </c>
      <c r="F130" s="1641" t="s">
        <v>1341</v>
      </c>
      <c r="G130" s="1596"/>
      <c r="H130" s="1596"/>
      <c r="I130" s="1596"/>
      <c r="J130" s="1596"/>
      <c r="K130" s="1596"/>
      <c r="L130" s="1661">
        <v>2</v>
      </c>
      <c r="M130" s="671"/>
      <c r="N130" s="125">
        <f>N79</f>
        <v>0</v>
      </c>
      <c r="O130" s="68">
        <f t="shared" ref="O130:V130" si="106">O79</f>
        <v>0</v>
      </c>
      <c r="P130" s="68">
        <f t="shared" si="106"/>
        <v>0</v>
      </c>
      <c r="Q130" s="204">
        <f t="shared" si="106"/>
        <v>0</v>
      </c>
      <c r="R130" s="128">
        <f t="shared" si="106"/>
        <v>0</v>
      </c>
      <c r="S130" s="205">
        <f t="shared" si="106"/>
        <v>0</v>
      </c>
      <c r="T130" s="128">
        <f t="shared" si="106"/>
        <v>0</v>
      </c>
      <c r="U130" s="128">
        <f t="shared" si="106"/>
        <v>0</v>
      </c>
      <c r="V130" s="129">
        <f t="shared" si="106"/>
        <v>0</v>
      </c>
    </row>
    <row r="131" spans="5:22" x14ac:dyDescent="0.2">
      <c r="E131" s="855">
        <f>Saisies_Exploitation!D84</f>
        <v>0</v>
      </c>
      <c r="F131" s="1641" t="s">
        <v>1340</v>
      </c>
      <c r="G131" s="1596"/>
      <c r="H131" s="1596"/>
      <c r="I131" s="1596"/>
      <c r="J131" s="1596"/>
      <c r="K131" s="1596"/>
      <c r="L131" s="51">
        <v>3</v>
      </c>
      <c r="M131" s="126">
        <v>28</v>
      </c>
      <c r="N131" s="125">
        <f>N80+N81</f>
        <v>0</v>
      </c>
      <c r="O131" s="68">
        <f t="shared" ref="O131:V131" si="107">O80+O81</f>
        <v>0</v>
      </c>
      <c r="P131" s="68">
        <f t="shared" si="107"/>
        <v>0</v>
      </c>
      <c r="Q131" s="204">
        <f t="shared" si="107"/>
        <v>0</v>
      </c>
      <c r="R131" s="128">
        <f t="shared" si="107"/>
        <v>0</v>
      </c>
      <c r="S131" s="205">
        <f t="shared" si="107"/>
        <v>0</v>
      </c>
      <c r="T131" s="128">
        <f t="shared" si="107"/>
        <v>0</v>
      </c>
      <c r="U131" s="128">
        <f t="shared" si="107"/>
        <v>0</v>
      </c>
      <c r="V131" s="129">
        <f t="shared" si="107"/>
        <v>0</v>
      </c>
    </row>
    <row r="132" spans="5:22" x14ac:dyDescent="0.2">
      <c r="E132" s="855">
        <f>Saisies_Exploitation!D85</f>
        <v>0</v>
      </c>
      <c r="F132" s="61"/>
      <c r="G132" s="1596"/>
      <c r="H132" s="1596"/>
      <c r="I132" s="1596"/>
      <c r="J132" s="1596"/>
      <c r="K132" s="1596"/>
      <c r="L132" s="51"/>
      <c r="M132" s="126">
        <v>30</v>
      </c>
      <c r="N132" s="125">
        <f>N82+N83</f>
        <v>0</v>
      </c>
      <c r="O132" s="68">
        <f t="shared" ref="O132:V132" si="108">O82+O83</f>
        <v>0</v>
      </c>
      <c r="P132" s="68">
        <f t="shared" si="108"/>
        <v>0</v>
      </c>
      <c r="Q132" s="204">
        <f t="shared" si="108"/>
        <v>0</v>
      </c>
      <c r="R132" s="128">
        <f t="shared" si="108"/>
        <v>0</v>
      </c>
      <c r="S132" s="205">
        <f t="shared" si="108"/>
        <v>0</v>
      </c>
      <c r="T132" s="128">
        <f t="shared" si="108"/>
        <v>0</v>
      </c>
      <c r="U132" s="128">
        <f t="shared" si="108"/>
        <v>0</v>
      </c>
      <c r="V132" s="129">
        <f t="shared" si="108"/>
        <v>0</v>
      </c>
    </row>
    <row r="133" spans="5:22" x14ac:dyDescent="0.2">
      <c r="E133" s="855">
        <f>Saisies_Exploitation!D86</f>
        <v>0</v>
      </c>
      <c r="F133" s="61"/>
      <c r="G133" s="1596"/>
      <c r="H133" s="1596"/>
      <c r="I133" s="1596"/>
      <c r="J133" s="1596"/>
      <c r="K133" s="1596"/>
      <c r="L133" s="51"/>
      <c r="M133" s="126">
        <v>33</v>
      </c>
      <c r="N133" s="125">
        <f>N84</f>
        <v>0</v>
      </c>
      <c r="O133" s="68">
        <f t="shared" ref="O133:V133" si="109">O84</f>
        <v>0</v>
      </c>
      <c r="P133" s="68">
        <f t="shared" si="109"/>
        <v>0</v>
      </c>
      <c r="Q133" s="204">
        <f t="shared" si="109"/>
        <v>0</v>
      </c>
      <c r="R133" s="128">
        <f t="shared" si="109"/>
        <v>0</v>
      </c>
      <c r="S133" s="205">
        <f t="shared" si="109"/>
        <v>0</v>
      </c>
      <c r="T133" s="128">
        <f t="shared" si="109"/>
        <v>0</v>
      </c>
      <c r="U133" s="128">
        <f t="shared" si="109"/>
        <v>0</v>
      </c>
      <c r="V133" s="129">
        <f t="shared" si="109"/>
        <v>0</v>
      </c>
    </row>
    <row r="134" spans="5:22" ht="13.5" thickBot="1" x14ac:dyDescent="0.25">
      <c r="E134" s="855">
        <f>Saisies_Exploitation!D87</f>
        <v>0</v>
      </c>
      <c r="F134" s="61"/>
      <c r="G134" s="1596"/>
      <c r="H134" s="1596"/>
      <c r="I134" s="1596"/>
      <c r="J134" s="1596"/>
      <c r="K134" s="1596"/>
      <c r="L134" s="76"/>
      <c r="M134" s="281">
        <v>36</v>
      </c>
      <c r="N134" s="125">
        <f>N85</f>
        <v>0</v>
      </c>
      <c r="O134" s="68">
        <f t="shared" ref="O134:V134" si="110">O85</f>
        <v>0</v>
      </c>
      <c r="P134" s="68">
        <f t="shared" si="110"/>
        <v>0</v>
      </c>
      <c r="Q134" s="204">
        <f t="shared" si="110"/>
        <v>0</v>
      </c>
      <c r="R134" s="128">
        <f t="shared" si="110"/>
        <v>0</v>
      </c>
      <c r="S134" s="205">
        <f t="shared" si="110"/>
        <v>0</v>
      </c>
      <c r="T134" s="128">
        <f t="shared" si="110"/>
        <v>0</v>
      </c>
      <c r="U134" s="128">
        <f t="shared" si="110"/>
        <v>0</v>
      </c>
      <c r="V134" s="129">
        <f t="shared" si="110"/>
        <v>0</v>
      </c>
    </row>
    <row r="135" spans="5:22" ht="13.5" thickTop="1" x14ac:dyDescent="0.2">
      <c r="E135" s="855">
        <f>Saisies_Exploitation!E103</f>
        <v>0</v>
      </c>
      <c r="F135" s="80" t="s">
        <v>351</v>
      </c>
      <c r="G135" s="53"/>
      <c r="H135" s="53"/>
      <c r="I135" s="53"/>
      <c r="J135" s="53"/>
      <c r="K135" s="53"/>
      <c r="L135" s="81">
        <v>2</v>
      </c>
      <c r="M135" s="665"/>
      <c r="N135" s="105">
        <f t="shared" ref="N135:V135" si="111">E87+N87+W87</f>
        <v>0</v>
      </c>
      <c r="O135" s="55">
        <f t="shared" si="111"/>
        <v>0</v>
      </c>
      <c r="P135" s="55">
        <f t="shared" si="111"/>
        <v>0</v>
      </c>
      <c r="Q135" s="210">
        <f t="shared" si="111"/>
        <v>0</v>
      </c>
      <c r="R135" s="118">
        <f t="shared" si="111"/>
        <v>0</v>
      </c>
      <c r="S135" s="211">
        <f t="shared" si="111"/>
        <v>0</v>
      </c>
      <c r="T135" s="118">
        <f t="shared" si="111"/>
        <v>0</v>
      </c>
      <c r="U135" s="118">
        <f t="shared" si="111"/>
        <v>0</v>
      </c>
      <c r="V135" s="119">
        <f t="shared" si="111"/>
        <v>0</v>
      </c>
    </row>
    <row r="136" spans="5:22" x14ac:dyDescent="0.2">
      <c r="E136" s="855">
        <f>Saisies_Exploitation!E107</f>
        <v>0</v>
      </c>
      <c r="F136" s="1641" t="s">
        <v>1341</v>
      </c>
      <c r="G136" s="46"/>
      <c r="H136" s="46"/>
      <c r="I136" s="46"/>
      <c r="J136" s="46"/>
      <c r="K136" s="46"/>
      <c r="L136" s="51">
        <v>3</v>
      </c>
      <c r="M136" s="126">
        <v>30</v>
      </c>
      <c r="N136" s="454">
        <f t="shared" ref="N136:V136" si="112">E88+E89+N88+N89+W88+W89</f>
        <v>0</v>
      </c>
      <c r="O136" s="213">
        <f t="shared" si="112"/>
        <v>0</v>
      </c>
      <c r="P136" s="213">
        <f t="shared" si="112"/>
        <v>0</v>
      </c>
      <c r="Q136" s="214">
        <f t="shared" si="112"/>
        <v>0</v>
      </c>
      <c r="R136" s="215">
        <f t="shared" si="112"/>
        <v>0</v>
      </c>
      <c r="S136" s="216">
        <f t="shared" si="112"/>
        <v>0</v>
      </c>
      <c r="T136" s="215">
        <f t="shared" si="112"/>
        <v>0</v>
      </c>
      <c r="U136" s="215">
        <f t="shared" si="112"/>
        <v>0</v>
      </c>
      <c r="V136" s="217">
        <f t="shared" si="112"/>
        <v>0</v>
      </c>
    </row>
    <row r="137" spans="5:22" x14ac:dyDescent="0.2">
      <c r="E137" s="855">
        <f>Saisies_Exploitation!E108</f>
        <v>0</v>
      </c>
      <c r="F137" s="1641" t="s">
        <v>1342</v>
      </c>
      <c r="G137" s="46"/>
      <c r="H137" s="46"/>
      <c r="I137" s="46"/>
      <c r="J137" s="46"/>
      <c r="K137" s="46"/>
      <c r="L137" s="51"/>
      <c r="M137" s="126">
        <v>33</v>
      </c>
      <c r="N137" s="125">
        <f t="shared" ref="N137:V138" si="113">E90+N90+W90</f>
        <v>0</v>
      </c>
      <c r="O137" s="68">
        <f t="shared" si="113"/>
        <v>0</v>
      </c>
      <c r="P137" s="68">
        <f t="shared" si="113"/>
        <v>0</v>
      </c>
      <c r="Q137" s="204">
        <f t="shared" si="113"/>
        <v>0</v>
      </c>
      <c r="R137" s="128">
        <f t="shared" si="113"/>
        <v>0</v>
      </c>
      <c r="S137" s="205">
        <f t="shared" si="113"/>
        <v>0</v>
      </c>
      <c r="T137" s="128">
        <f t="shared" si="113"/>
        <v>0</v>
      </c>
      <c r="U137" s="128">
        <f t="shared" si="113"/>
        <v>0</v>
      </c>
      <c r="V137" s="129">
        <f t="shared" si="113"/>
        <v>0</v>
      </c>
    </row>
    <row r="138" spans="5:22" ht="13.5" thickBot="1" x14ac:dyDescent="0.25">
      <c r="E138" s="855">
        <f>Saisies_Exploitation!E109</f>
        <v>0</v>
      </c>
      <c r="F138" s="61"/>
      <c r="G138" s="1596"/>
      <c r="H138" s="1596"/>
      <c r="I138" s="1596"/>
      <c r="J138" s="1596"/>
      <c r="K138" s="1596"/>
      <c r="L138" s="51"/>
      <c r="M138" s="126">
        <v>36</v>
      </c>
      <c r="N138" s="125">
        <f t="shared" si="113"/>
        <v>0</v>
      </c>
      <c r="O138" s="68">
        <f t="shared" si="113"/>
        <v>0</v>
      </c>
      <c r="P138" s="68">
        <f t="shared" si="113"/>
        <v>0</v>
      </c>
      <c r="Q138" s="204">
        <f t="shared" si="113"/>
        <v>0</v>
      </c>
      <c r="R138" s="128">
        <f t="shared" si="113"/>
        <v>0</v>
      </c>
      <c r="S138" s="205">
        <f t="shared" si="113"/>
        <v>0</v>
      </c>
      <c r="T138" s="128">
        <f t="shared" si="113"/>
        <v>0</v>
      </c>
      <c r="U138" s="128">
        <f t="shared" si="113"/>
        <v>0</v>
      </c>
      <c r="V138" s="129">
        <f t="shared" si="113"/>
        <v>0</v>
      </c>
    </row>
    <row r="139" spans="5:22" ht="13.5" thickTop="1" x14ac:dyDescent="0.2">
      <c r="E139" s="855">
        <f>Saisies_Exploitation!D103</f>
        <v>0</v>
      </c>
      <c r="F139" s="80" t="s">
        <v>351</v>
      </c>
      <c r="G139" s="53"/>
      <c r="H139" s="53"/>
      <c r="I139" s="53"/>
      <c r="J139" s="53"/>
      <c r="K139" s="53"/>
      <c r="L139" s="81">
        <v>2</v>
      </c>
      <c r="M139" s="1660"/>
      <c r="N139" s="1601">
        <f>N94</f>
        <v>0</v>
      </c>
      <c r="O139" s="1602">
        <f t="shared" ref="O139:V139" si="114">O94</f>
        <v>0</v>
      </c>
      <c r="P139" s="1602">
        <f t="shared" si="114"/>
        <v>0</v>
      </c>
      <c r="Q139" s="210">
        <f t="shared" si="114"/>
        <v>0</v>
      </c>
      <c r="R139" s="118">
        <f t="shared" si="114"/>
        <v>0</v>
      </c>
      <c r="S139" s="211">
        <f t="shared" si="114"/>
        <v>0</v>
      </c>
      <c r="T139" s="118">
        <f t="shared" si="114"/>
        <v>0</v>
      </c>
      <c r="U139" s="118">
        <f t="shared" si="114"/>
        <v>0</v>
      </c>
      <c r="V139" s="119">
        <f t="shared" si="114"/>
        <v>0</v>
      </c>
    </row>
    <row r="140" spans="5:22" x14ac:dyDescent="0.2">
      <c r="E140" s="855">
        <f>Saisies_Exploitation!D107</f>
        <v>0</v>
      </c>
      <c r="F140" s="1641" t="s">
        <v>1341</v>
      </c>
      <c r="G140" s="1596"/>
      <c r="H140" s="1596"/>
      <c r="I140" s="1596"/>
      <c r="J140" s="1596"/>
      <c r="K140" s="1596"/>
      <c r="L140" s="51">
        <v>3</v>
      </c>
      <c r="M140" s="260">
        <v>30</v>
      </c>
      <c r="N140" s="125">
        <f>N95+N96</f>
        <v>0</v>
      </c>
      <c r="O140" s="68">
        <f t="shared" ref="O140:V140" si="115">O95+O96</f>
        <v>0</v>
      </c>
      <c r="P140" s="68">
        <f t="shared" si="115"/>
        <v>0</v>
      </c>
      <c r="Q140" s="204">
        <f t="shared" si="115"/>
        <v>0</v>
      </c>
      <c r="R140" s="128">
        <f t="shared" si="115"/>
        <v>0</v>
      </c>
      <c r="S140" s="205">
        <f t="shared" si="115"/>
        <v>0</v>
      </c>
      <c r="T140" s="128">
        <f t="shared" si="115"/>
        <v>0</v>
      </c>
      <c r="U140" s="128">
        <f t="shared" si="115"/>
        <v>0</v>
      </c>
      <c r="V140" s="129">
        <f t="shared" si="115"/>
        <v>0</v>
      </c>
    </row>
    <row r="141" spans="5:22" x14ac:dyDescent="0.2">
      <c r="E141" s="855">
        <f>Saisies_Exploitation!D108</f>
        <v>0</v>
      </c>
      <c r="F141" s="1641" t="s">
        <v>1340</v>
      </c>
      <c r="G141" s="1596"/>
      <c r="H141" s="1596"/>
      <c r="I141" s="1596"/>
      <c r="J141" s="1596"/>
      <c r="K141" s="1596"/>
      <c r="L141" s="51"/>
      <c r="M141" s="260">
        <v>33</v>
      </c>
      <c r="N141" s="125">
        <f>N97</f>
        <v>0</v>
      </c>
      <c r="O141" s="68">
        <f t="shared" ref="O141:V141" si="116">O97</f>
        <v>0</v>
      </c>
      <c r="P141" s="68">
        <f t="shared" si="116"/>
        <v>0</v>
      </c>
      <c r="Q141" s="204">
        <f t="shared" si="116"/>
        <v>0</v>
      </c>
      <c r="R141" s="128">
        <f t="shared" si="116"/>
        <v>0</v>
      </c>
      <c r="S141" s="205">
        <f t="shared" si="116"/>
        <v>0</v>
      </c>
      <c r="T141" s="128">
        <f t="shared" si="116"/>
        <v>0</v>
      </c>
      <c r="U141" s="128">
        <f t="shared" si="116"/>
        <v>0</v>
      </c>
      <c r="V141" s="129">
        <f t="shared" si="116"/>
        <v>0</v>
      </c>
    </row>
    <row r="142" spans="5:22" ht="13.5" thickBot="1" x14ac:dyDescent="0.25">
      <c r="E142" s="855">
        <f>Saisies_Exploitation!D109</f>
        <v>0</v>
      </c>
      <c r="F142" s="61"/>
      <c r="G142" s="1596"/>
      <c r="H142" s="1596"/>
      <c r="I142" s="1596"/>
      <c r="J142" s="1596"/>
      <c r="K142" s="1596"/>
      <c r="L142" s="51"/>
      <c r="M142" s="260">
        <v>36</v>
      </c>
      <c r="N142" s="125">
        <f>N98</f>
        <v>0</v>
      </c>
      <c r="O142" s="68">
        <f t="shared" ref="O142:V142" si="117">O98</f>
        <v>0</v>
      </c>
      <c r="P142" s="68">
        <f t="shared" si="117"/>
        <v>0</v>
      </c>
      <c r="Q142" s="204">
        <f t="shared" si="117"/>
        <v>0</v>
      </c>
      <c r="R142" s="128">
        <f t="shared" si="117"/>
        <v>0</v>
      </c>
      <c r="S142" s="205">
        <f t="shared" si="117"/>
        <v>0</v>
      </c>
      <c r="T142" s="128">
        <f t="shared" si="117"/>
        <v>0</v>
      </c>
      <c r="U142" s="128">
        <f t="shared" si="117"/>
        <v>0</v>
      </c>
      <c r="V142" s="129">
        <f t="shared" si="117"/>
        <v>0</v>
      </c>
    </row>
    <row r="143" spans="5:22" x14ac:dyDescent="0.2">
      <c r="E143" s="855">
        <f>Saisies_Exploitation!E112</f>
        <v>0</v>
      </c>
      <c r="F143" s="2855" t="s">
        <v>2356</v>
      </c>
      <c r="G143" s="2856"/>
      <c r="H143" s="2856"/>
      <c r="I143" s="2856"/>
      <c r="J143" s="2856"/>
      <c r="K143" s="2856"/>
      <c r="L143" s="2871"/>
      <c r="M143" s="2872"/>
      <c r="N143" s="2873">
        <f>N100</f>
        <v>0</v>
      </c>
      <c r="O143" s="2874">
        <f t="shared" ref="O143:V143" si="118">O100</f>
        <v>0</v>
      </c>
      <c r="P143" s="2874">
        <f t="shared" si="118"/>
        <v>0</v>
      </c>
      <c r="Q143" s="2875">
        <f t="shared" si="118"/>
        <v>0</v>
      </c>
      <c r="R143" s="2876">
        <f t="shared" si="118"/>
        <v>0</v>
      </c>
      <c r="S143" s="2877">
        <f t="shared" si="118"/>
        <v>0</v>
      </c>
      <c r="T143" s="2876">
        <f t="shared" si="118"/>
        <v>0</v>
      </c>
      <c r="U143" s="2876">
        <f t="shared" si="118"/>
        <v>0</v>
      </c>
      <c r="V143" s="2878">
        <f t="shared" si="118"/>
        <v>0</v>
      </c>
    </row>
    <row r="144" spans="5:22" ht="13.5" thickBot="1" x14ac:dyDescent="0.25">
      <c r="E144" s="855">
        <f>Saisies_Exploitation!D112</f>
        <v>0</v>
      </c>
      <c r="F144" s="2862" t="s">
        <v>2357</v>
      </c>
      <c r="G144" s="2863"/>
      <c r="H144" s="2863"/>
      <c r="I144" s="2863"/>
      <c r="J144" s="2863"/>
      <c r="K144" s="2863"/>
      <c r="L144" s="2879"/>
      <c r="M144" s="2880"/>
      <c r="N144" s="2881">
        <f t="shared" ref="N144:V144" si="119">N101</f>
        <v>0</v>
      </c>
      <c r="O144" s="2882">
        <f t="shared" si="119"/>
        <v>0</v>
      </c>
      <c r="P144" s="2882">
        <f t="shared" si="119"/>
        <v>0</v>
      </c>
      <c r="Q144" s="2883">
        <f t="shared" si="119"/>
        <v>0</v>
      </c>
      <c r="R144" s="2884">
        <f t="shared" si="119"/>
        <v>0</v>
      </c>
      <c r="S144" s="2885">
        <f t="shared" si="119"/>
        <v>0</v>
      </c>
      <c r="T144" s="2884">
        <f t="shared" si="119"/>
        <v>0</v>
      </c>
      <c r="U144" s="2884">
        <f t="shared" si="119"/>
        <v>0</v>
      </c>
      <c r="V144" s="2886">
        <f t="shared" si="119"/>
        <v>0</v>
      </c>
    </row>
    <row r="145" spans="1:22" x14ac:dyDescent="0.2">
      <c r="E145" s="855">
        <f>EN_NbTaurilait</f>
        <v>0</v>
      </c>
      <c r="F145" s="61" t="s">
        <v>502</v>
      </c>
      <c r="G145" s="46"/>
      <c r="H145" s="46"/>
      <c r="I145" s="46"/>
      <c r="J145" s="46"/>
      <c r="K145" s="46"/>
      <c r="L145" s="51">
        <v>1</v>
      </c>
      <c r="M145" s="1659"/>
      <c r="N145" s="125">
        <f t="shared" ref="N145:V146" si="120">E103</f>
        <v>0</v>
      </c>
      <c r="O145" s="68">
        <f t="shared" si="120"/>
        <v>0</v>
      </c>
      <c r="P145" s="68">
        <f t="shared" si="120"/>
        <v>0</v>
      </c>
      <c r="Q145" s="204">
        <f t="shared" si="120"/>
        <v>0</v>
      </c>
      <c r="R145" s="128">
        <f t="shared" si="120"/>
        <v>0</v>
      </c>
      <c r="S145" s="205">
        <f t="shared" si="120"/>
        <v>0</v>
      </c>
      <c r="T145" s="128">
        <f t="shared" si="120"/>
        <v>0</v>
      </c>
      <c r="U145" s="128">
        <f t="shared" si="120"/>
        <v>0</v>
      </c>
      <c r="V145" s="129">
        <f t="shared" si="120"/>
        <v>0</v>
      </c>
    </row>
    <row r="146" spans="1:22" ht="13.5" thickBot="1" x14ac:dyDescent="0.25">
      <c r="E146" s="855">
        <f>EN_NbTaurilait</f>
        <v>0</v>
      </c>
      <c r="F146" s="72"/>
      <c r="G146" s="73"/>
      <c r="H146" s="73"/>
      <c r="I146" s="73"/>
      <c r="J146" s="73"/>
      <c r="K146" s="74"/>
      <c r="L146" s="574">
        <v>2</v>
      </c>
      <c r="M146" s="671"/>
      <c r="N146" s="591">
        <f t="shared" si="120"/>
        <v>0</v>
      </c>
      <c r="O146" s="168">
        <f t="shared" si="120"/>
        <v>0</v>
      </c>
      <c r="P146" s="168">
        <f t="shared" si="120"/>
        <v>0</v>
      </c>
      <c r="Q146" s="222">
        <f t="shared" si="120"/>
        <v>0</v>
      </c>
      <c r="R146" s="223">
        <f t="shared" si="120"/>
        <v>0</v>
      </c>
      <c r="S146" s="224">
        <f t="shared" si="120"/>
        <v>0</v>
      </c>
      <c r="T146" s="223">
        <f t="shared" si="120"/>
        <v>0</v>
      </c>
      <c r="U146" s="223">
        <f t="shared" si="120"/>
        <v>0</v>
      </c>
      <c r="V146" s="225">
        <f t="shared" si="120"/>
        <v>0</v>
      </c>
    </row>
    <row r="147" spans="1:22" ht="14.25" thickTop="1" thickBot="1" x14ac:dyDescent="0.25">
      <c r="E147" s="855">
        <f>EN_NbTauril</f>
        <v>0</v>
      </c>
      <c r="F147" s="89" t="s">
        <v>501</v>
      </c>
      <c r="G147" s="90"/>
      <c r="H147" s="90"/>
      <c r="I147" s="90"/>
      <c r="J147" s="90"/>
      <c r="K147" s="90"/>
      <c r="L147" s="90" t="s">
        <v>383</v>
      </c>
      <c r="M147" s="90"/>
      <c r="N147" s="673">
        <f t="shared" ref="N147:V147" si="121">E106+N106+W106</f>
        <v>0</v>
      </c>
      <c r="O147" s="156">
        <f t="shared" si="121"/>
        <v>0</v>
      </c>
      <c r="P147" s="156">
        <f t="shared" si="121"/>
        <v>0</v>
      </c>
      <c r="Q147" s="219">
        <f t="shared" si="121"/>
        <v>0</v>
      </c>
      <c r="R147" s="157">
        <f t="shared" si="121"/>
        <v>0</v>
      </c>
      <c r="S147" s="220">
        <f t="shared" si="121"/>
        <v>0</v>
      </c>
      <c r="T147" s="157">
        <f t="shared" si="121"/>
        <v>0</v>
      </c>
      <c r="U147" s="157">
        <f t="shared" si="121"/>
        <v>0</v>
      </c>
      <c r="V147" s="181">
        <f t="shared" si="121"/>
        <v>0</v>
      </c>
    </row>
    <row r="148" spans="1:22" ht="13.5" thickTop="1" x14ac:dyDescent="0.2">
      <c r="E148" s="855">
        <f>Saisies_Exploitation!E91</f>
        <v>0</v>
      </c>
      <c r="F148" s="2887" t="s">
        <v>2353</v>
      </c>
      <c r="G148" s="1077"/>
      <c r="H148" s="1077"/>
      <c r="I148" s="1077"/>
      <c r="J148" s="1077"/>
      <c r="K148" s="1077"/>
      <c r="L148" s="1077"/>
      <c r="M148" s="1077"/>
      <c r="N148" s="431">
        <f>N109</f>
        <v>0</v>
      </c>
      <c r="O148" s="432">
        <f t="shared" ref="O148:V148" si="122">O109</f>
        <v>0</v>
      </c>
      <c r="P148" s="432">
        <f t="shared" si="122"/>
        <v>0</v>
      </c>
      <c r="Q148" s="193">
        <f t="shared" si="122"/>
        <v>0</v>
      </c>
      <c r="R148" s="194">
        <f t="shared" si="122"/>
        <v>0</v>
      </c>
      <c r="S148" s="340">
        <f t="shared" si="122"/>
        <v>0</v>
      </c>
      <c r="T148" s="194">
        <f t="shared" si="122"/>
        <v>0</v>
      </c>
      <c r="U148" s="194">
        <f t="shared" si="122"/>
        <v>0</v>
      </c>
      <c r="V148" s="433">
        <f t="shared" si="122"/>
        <v>0</v>
      </c>
    </row>
    <row r="149" spans="1:22" ht="13.5" thickBot="1" x14ac:dyDescent="0.25">
      <c r="E149" s="855">
        <f>Saisies_Exploitation!D91</f>
        <v>0</v>
      </c>
      <c r="F149" s="2888" t="s">
        <v>2354</v>
      </c>
      <c r="G149" s="2845"/>
      <c r="H149" s="2845"/>
      <c r="I149" s="2845"/>
      <c r="J149" s="2845"/>
      <c r="K149" s="2845"/>
      <c r="L149" s="2845"/>
      <c r="M149" s="2845"/>
      <c r="N149" s="526">
        <f t="shared" ref="N149:V149" si="123">N110</f>
        <v>0</v>
      </c>
      <c r="O149" s="463">
        <f t="shared" si="123"/>
        <v>0</v>
      </c>
      <c r="P149" s="463">
        <f t="shared" si="123"/>
        <v>0</v>
      </c>
      <c r="Q149" s="439">
        <f t="shared" si="123"/>
        <v>0</v>
      </c>
      <c r="R149" s="414">
        <f t="shared" si="123"/>
        <v>0</v>
      </c>
      <c r="S149" s="2889">
        <f t="shared" si="123"/>
        <v>0</v>
      </c>
      <c r="T149" s="414">
        <f t="shared" si="123"/>
        <v>0</v>
      </c>
      <c r="U149" s="414">
        <f t="shared" si="123"/>
        <v>0</v>
      </c>
      <c r="V149" s="2890">
        <f t="shared" si="123"/>
        <v>0</v>
      </c>
    </row>
    <row r="150" spans="1:22" ht="13.5" thickTop="1" x14ac:dyDescent="0.2">
      <c r="E150" s="221"/>
      <c r="F150" s="80" t="s">
        <v>390</v>
      </c>
      <c r="G150" s="53"/>
      <c r="H150" s="53"/>
      <c r="I150" s="53"/>
      <c r="J150" s="53"/>
      <c r="K150" s="53"/>
      <c r="L150" s="53"/>
      <c r="M150" s="53"/>
      <c r="N150" s="105"/>
      <c r="O150" s="55"/>
      <c r="P150" s="55"/>
      <c r="Q150" s="210"/>
      <c r="R150" s="118"/>
      <c r="S150" s="211"/>
      <c r="T150" s="118"/>
      <c r="U150" s="118"/>
      <c r="V150" s="119"/>
    </row>
    <row r="151" spans="1:22" x14ac:dyDescent="0.2">
      <c r="E151" s="855">
        <f>EN_NbVaRefV</f>
        <v>5</v>
      </c>
      <c r="F151" s="94" t="s">
        <v>388</v>
      </c>
      <c r="G151" s="46"/>
      <c r="H151" s="46"/>
      <c r="I151" s="46"/>
      <c r="J151" s="46"/>
      <c r="K151" s="95"/>
      <c r="L151" s="46"/>
      <c r="M151" s="46"/>
      <c r="N151" s="125">
        <f>SUM(N112:N114)</f>
        <v>0</v>
      </c>
      <c r="O151" s="68">
        <f t="shared" ref="O151:U151" si="124">SUM(O112:O114)</f>
        <v>27</v>
      </c>
      <c r="P151" s="68">
        <f t="shared" si="124"/>
        <v>27</v>
      </c>
      <c r="Q151" s="204">
        <f>SUM(Q112:Q114)</f>
        <v>0</v>
      </c>
      <c r="R151" s="128">
        <f t="shared" si="124"/>
        <v>9.99</v>
      </c>
      <c r="S151" s="205">
        <f t="shared" si="124"/>
        <v>9.99</v>
      </c>
      <c r="T151" s="128">
        <f t="shared" si="124"/>
        <v>0</v>
      </c>
      <c r="U151" s="128">
        <f t="shared" si="124"/>
        <v>27.900000000000002</v>
      </c>
      <c r="V151" s="129">
        <f>SUM(V112:V114)</f>
        <v>27.900000000000002</v>
      </c>
    </row>
    <row r="152" spans="1:22" ht="13.5" thickBot="1" x14ac:dyDescent="0.25">
      <c r="E152" s="855">
        <f>EN_NbVaRefL</f>
        <v>14</v>
      </c>
      <c r="F152" s="96" t="s">
        <v>389</v>
      </c>
      <c r="G152" s="97"/>
      <c r="H152" s="97"/>
      <c r="I152" s="97"/>
      <c r="J152" s="97"/>
      <c r="K152" s="98"/>
      <c r="L152" s="97"/>
      <c r="M152" s="97"/>
      <c r="N152" s="591">
        <f>SUM(N115:N117)</f>
        <v>9</v>
      </c>
      <c r="O152" s="168">
        <f t="shared" ref="O152:U152" si="125">SUM(O115:O117)</f>
        <v>27</v>
      </c>
      <c r="P152" s="168">
        <f t="shared" si="125"/>
        <v>36</v>
      </c>
      <c r="Q152" s="222">
        <f t="shared" si="125"/>
        <v>3.25</v>
      </c>
      <c r="R152" s="223">
        <f>SUM(R115:R117)</f>
        <v>9.75</v>
      </c>
      <c r="S152" s="224">
        <f t="shared" si="125"/>
        <v>13</v>
      </c>
      <c r="T152" s="223">
        <f t="shared" si="125"/>
        <v>12</v>
      </c>
      <c r="U152" s="223">
        <f t="shared" si="125"/>
        <v>36</v>
      </c>
      <c r="V152" s="225">
        <f>SUM(V115:V117)</f>
        <v>48</v>
      </c>
    </row>
    <row r="153" spans="1:22" ht="13.5" thickTop="1" x14ac:dyDescent="0.2"/>
    <row r="154" spans="1:22" x14ac:dyDescent="0.2">
      <c r="A154" s="851"/>
      <c r="B154" s="851"/>
      <c r="C154" s="851"/>
      <c r="D154" s="852" t="s">
        <v>166</v>
      </c>
      <c r="E154" s="855">
        <f>EN_NbMalAn1Vd</f>
        <v>10</v>
      </c>
      <c r="F154" s="851"/>
      <c r="G154" s="851"/>
      <c r="H154" s="851"/>
      <c r="I154" s="851"/>
      <c r="J154" s="851"/>
      <c r="K154" s="851"/>
      <c r="L154" s="851"/>
      <c r="M154" s="852" t="s">
        <v>769</v>
      </c>
      <c r="N154" s="930">
        <f>Paramètres!EF84</f>
        <v>10</v>
      </c>
      <c r="O154" s="930">
        <f>Paramètres!EG84</f>
        <v>0</v>
      </c>
      <c r="P154" s="930">
        <f>Paramètres!EH84</f>
        <v>10</v>
      </c>
      <c r="Q154" s="930">
        <f>Paramètres!EI84</f>
        <v>4.5</v>
      </c>
      <c r="R154" s="930">
        <f>Paramètres!EJ84</f>
        <v>0</v>
      </c>
      <c r="S154" s="930">
        <f>Paramètres!EK84</f>
        <v>4.5</v>
      </c>
      <c r="T154" s="930">
        <f>Paramètres!EL84</f>
        <v>12</v>
      </c>
      <c r="U154" s="930">
        <f>Paramètres!EM84</f>
        <v>0</v>
      </c>
      <c r="V154" s="930">
        <f>Paramètres!EN84</f>
        <v>12</v>
      </c>
    </row>
    <row r="155" spans="1:22" x14ac:dyDescent="0.2">
      <c r="A155" s="851"/>
      <c r="B155" s="851"/>
      <c r="C155" s="851"/>
      <c r="D155" s="852" t="s">
        <v>167</v>
      </c>
      <c r="E155" s="855">
        <f>EN_NbMalAn1Ach</f>
        <v>0</v>
      </c>
      <c r="F155" s="851"/>
      <c r="G155" s="851"/>
      <c r="H155" s="851"/>
      <c r="I155" s="851"/>
      <c r="J155" s="851"/>
      <c r="K155" s="851"/>
      <c r="L155" s="851"/>
      <c r="M155" s="852" t="s">
        <v>165</v>
      </c>
      <c r="N155" s="763">
        <f>N$154</f>
        <v>10</v>
      </c>
      <c r="O155" s="763">
        <f t="shared" ref="O155:V155" si="126">O$154</f>
        <v>0</v>
      </c>
      <c r="P155" s="763">
        <f t="shared" si="126"/>
        <v>10</v>
      </c>
      <c r="Q155" s="763">
        <f t="shared" si="126"/>
        <v>4.5</v>
      </c>
      <c r="R155" s="763">
        <f t="shared" si="126"/>
        <v>0</v>
      </c>
      <c r="S155" s="763">
        <f t="shared" si="126"/>
        <v>4.5</v>
      </c>
      <c r="T155" s="763">
        <f t="shared" si="126"/>
        <v>12</v>
      </c>
      <c r="U155" s="763">
        <f t="shared" si="126"/>
        <v>0</v>
      </c>
      <c r="V155" s="763">
        <f t="shared" si="126"/>
        <v>12</v>
      </c>
    </row>
    <row r="156" spans="1:22" x14ac:dyDescent="0.2">
      <c r="A156" s="851"/>
      <c r="B156" s="851"/>
      <c r="C156" s="851"/>
      <c r="D156" s="852" t="s">
        <v>168</v>
      </c>
      <c r="E156" s="855">
        <f>TA_NbGenAn1Vd</f>
        <v>4</v>
      </c>
      <c r="F156" s="851"/>
      <c r="G156" s="851"/>
      <c r="H156" s="851"/>
      <c r="I156" s="851"/>
      <c r="J156" s="851"/>
      <c r="K156" s="851"/>
      <c r="L156" s="851"/>
      <c r="M156" s="852" t="s">
        <v>769</v>
      </c>
      <c r="N156" s="763">
        <f t="shared" ref="N156:V157" si="127">N$154</f>
        <v>10</v>
      </c>
      <c r="O156" s="763">
        <f t="shared" si="127"/>
        <v>0</v>
      </c>
      <c r="P156" s="763">
        <f t="shared" si="127"/>
        <v>10</v>
      </c>
      <c r="Q156" s="763">
        <f t="shared" si="127"/>
        <v>4.5</v>
      </c>
      <c r="R156" s="763">
        <f t="shared" si="127"/>
        <v>0</v>
      </c>
      <c r="S156" s="763">
        <f t="shared" si="127"/>
        <v>4.5</v>
      </c>
      <c r="T156" s="763">
        <f t="shared" si="127"/>
        <v>12</v>
      </c>
      <c r="U156" s="763">
        <f t="shared" si="127"/>
        <v>0</v>
      </c>
      <c r="V156" s="763">
        <f t="shared" si="127"/>
        <v>12</v>
      </c>
    </row>
    <row r="157" spans="1:22" x14ac:dyDescent="0.2">
      <c r="A157" s="851"/>
      <c r="B157" s="851"/>
      <c r="C157" s="851"/>
      <c r="D157" s="852" t="s">
        <v>169</v>
      </c>
      <c r="E157" s="855">
        <f>TA_NbGenAn1Ach</f>
        <v>0</v>
      </c>
      <c r="F157" s="851"/>
      <c r="G157" s="851"/>
      <c r="H157" s="851"/>
      <c r="I157" s="851"/>
      <c r="J157" s="851"/>
      <c r="K157" s="851"/>
      <c r="L157" s="851"/>
      <c r="M157" s="852" t="s">
        <v>165</v>
      </c>
      <c r="N157" s="763">
        <f t="shared" si="127"/>
        <v>10</v>
      </c>
      <c r="O157" s="763">
        <f t="shared" si="127"/>
        <v>0</v>
      </c>
      <c r="P157" s="763">
        <f t="shared" si="127"/>
        <v>10</v>
      </c>
      <c r="Q157" s="763">
        <f t="shared" si="127"/>
        <v>4.5</v>
      </c>
      <c r="R157" s="763">
        <f t="shared" si="127"/>
        <v>0</v>
      </c>
      <c r="S157" s="763">
        <f t="shared" si="127"/>
        <v>4.5</v>
      </c>
      <c r="T157" s="763">
        <f t="shared" si="127"/>
        <v>12</v>
      </c>
      <c r="U157" s="763">
        <f t="shared" si="127"/>
        <v>0</v>
      </c>
      <c r="V157" s="763">
        <f t="shared" si="127"/>
        <v>12</v>
      </c>
    </row>
  </sheetData>
  <sheetProtection algorithmName="SHA-512" hashValue="aWf1fhp9C92+0ofz7r9sOS9im39JWhF/tuIVhArcPswAvf62SadmRXSmqZFZhbP0zd9bd+N+Wm9p+Mn7LuvH8w==" saltValue="FR9D9EBJuSV9rhBp8Nluww==" spinCount="100000" sheet="1" objects="1" scenarios="1"/>
  <mergeCells count="32">
    <mergeCell ref="Z65:AB65"/>
    <mergeCell ref="W65:Y65"/>
    <mergeCell ref="T65:V65"/>
    <mergeCell ref="AC65:AE65"/>
    <mergeCell ref="W64:AE64"/>
    <mergeCell ref="E64:M64"/>
    <mergeCell ref="N64:V64"/>
    <mergeCell ref="E31:M31"/>
    <mergeCell ref="N120:P120"/>
    <mergeCell ref="Q120:S120"/>
    <mergeCell ref="T120:V120"/>
    <mergeCell ref="E32:G32"/>
    <mergeCell ref="H32:J32"/>
    <mergeCell ref="N32:P32"/>
    <mergeCell ref="Q32:S32"/>
    <mergeCell ref="N31:V31"/>
    <mergeCell ref="E65:G65"/>
    <mergeCell ref="H65:J65"/>
    <mergeCell ref="N65:P65"/>
    <mergeCell ref="Q65:S65"/>
    <mergeCell ref="K65:M65"/>
    <mergeCell ref="AJ4:AL4"/>
    <mergeCell ref="AM4:AO4"/>
    <mergeCell ref="T3:V3"/>
    <mergeCell ref="K32:M32"/>
    <mergeCell ref="T32:V32"/>
    <mergeCell ref="N3:P3"/>
    <mergeCell ref="Q3:S3"/>
    <mergeCell ref="W31:AE31"/>
    <mergeCell ref="W32:Y32"/>
    <mergeCell ref="Z32:AB32"/>
    <mergeCell ref="AC32:AE32"/>
  </mergeCells>
  <phoneticPr fontId="14" type="noConversion"/>
  <conditionalFormatting sqref="E87:AE91 E68:AE75 E103:AE104 E106:AE106 D112:AE117">
    <cfRule type="expression" dxfId="3" priority="3" stopIfTrue="1">
      <formula>IF($AF68=1,TRUE,FALSE)</formula>
    </cfRule>
  </conditionalFormatting>
  <conditionalFormatting sqref="Q123:R124 Q6:R7 N123:O124 T123:U124 N6:O7 T6:U7">
    <cfRule type="expression" dxfId="2" priority="4" stopIfTrue="1">
      <formula>IF(ISERROR(N6),TRUE,FALSE)</formula>
    </cfRule>
  </conditionalFormatting>
  <conditionalFormatting sqref="N78:V85">
    <cfRule type="expression" dxfId="1" priority="2" stopIfTrue="1">
      <formula>IF($AF78=1,TRUE,FALSE)</formula>
    </cfRule>
  </conditionalFormatting>
  <conditionalFormatting sqref="N94:V98">
    <cfRule type="expression" dxfId="0" priority="1" stopIfTrue="1">
      <formula>IF($AF94=1,TRUE,FALSE)</formula>
    </cfRule>
  </conditionalFormatting>
  <printOptions horizontalCentered="1" verticalCentered="1"/>
  <pageMargins left="0.78740157480314965" right="0.78740157480314965" top="0.59055118110236227" bottom="0.59055118110236227" header="0.59055118110236227" footer="0.59055118110236227"/>
  <pageSetup paperSize="9" scale="3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2:X29"/>
  <sheetViews>
    <sheetView topLeftCell="L1" workbookViewId="0"/>
  </sheetViews>
  <sheetFormatPr baseColWidth="10" defaultColWidth="11.42578125" defaultRowHeight="12.75" x14ac:dyDescent="0.2"/>
  <cols>
    <col min="1" max="11" width="1.5703125" style="32" hidden="1" customWidth="1"/>
    <col min="12" max="12" width="7.28515625" style="32" customWidth="1"/>
    <col min="13" max="13" width="19.2851562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16384" width="11.42578125" style="32"/>
  </cols>
  <sheetData>
    <row r="2" spans="11:24" ht="13.5" thickBot="1" x14ac:dyDescent="0.25">
      <c r="V2" s="33" t="s">
        <v>198</v>
      </c>
    </row>
    <row r="3" spans="11:24" ht="13.5" thickTop="1" x14ac:dyDescent="0.2">
      <c r="N3" s="3450" t="s">
        <v>450</v>
      </c>
      <c r="O3" s="3451"/>
      <c r="P3" s="3453"/>
      <c r="Q3" s="3452" t="s">
        <v>451</v>
      </c>
      <c r="R3" s="3451"/>
      <c r="S3" s="3453"/>
      <c r="T3" s="3452" t="s">
        <v>755</v>
      </c>
      <c r="U3" s="3451"/>
      <c r="V3" s="3454"/>
    </row>
    <row r="4" spans="11:24" x14ac:dyDescent="0.2">
      <c r="N4" s="110" t="s">
        <v>249</v>
      </c>
      <c r="O4" s="36" t="s">
        <v>247</v>
      </c>
      <c r="P4" s="36"/>
      <c r="Q4" s="35" t="s">
        <v>249</v>
      </c>
      <c r="R4" s="36" t="s">
        <v>247</v>
      </c>
      <c r="S4" s="37"/>
      <c r="T4" s="35" t="s">
        <v>249</v>
      </c>
      <c r="U4" s="36" t="s">
        <v>247</v>
      </c>
      <c r="V4" s="109"/>
    </row>
    <row r="5" spans="11:24" ht="13.5" thickBot="1" x14ac:dyDescent="0.25">
      <c r="N5" s="110" t="s">
        <v>248</v>
      </c>
      <c r="O5" s="36" t="s">
        <v>246</v>
      </c>
      <c r="P5" s="36" t="s">
        <v>244</v>
      </c>
      <c r="Q5" s="35" t="s">
        <v>248</v>
      </c>
      <c r="R5" s="36" t="s">
        <v>246</v>
      </c>
      <c r="S5" s="37" t="s">
        <v>244</v>
      </c>
      <c r="T5" s="35" t="s">
        <v>248</v>
      </c>
      <c r="U5" s="36" t="s">
        <v>246</v>
      </c>
      <c r="V5" s="109" t="s">
        <v>244</v>
      </c>
    </row>
    <row r="6" spans="11:24" ht="14.25" thickTop="1" thickBot="1" x14ac:dyDescent="0.25">
      <c r="M6" s="1221" t="s">
        <v>197</v>
      </c>
      <c r="N6" s="1222">
        <f>N13*$L13</f>
        <v>0</v>
      </c>
      <c r="O6" s="1223"/>
      <c r="P6" s="1223">
        <f>N6+O6</f>
        <v>0</v>
      </c>
      <c r="Q6" s="1224">
        <f>Q13*$L13</f>
        <v>0</v>
      </c>
      <c r="R6" s="1223"/>
      <c r="S6" s="1223">
        <f>Q6+R6</f>
        <v>0</v>
      </c>
      <c r="T6" s="1224">
        <f>T13*$L13</f>
        <v>0</v>
      </c>
      <c r="U6" s="1223"/>
      <c r="V6" s="1225">
        <f>T6+U6</f>
        <v>0</v>
      </c>
    </row>
    <row r="7" spans="11:24" ht="13.5" thickTop="1" x14ac:dyDescent="0.2"/>
    <row r="9" spans="11:24" ht="13.5" thickBot="1" x14ac:dyDescent="0.25">
      <c r="M9" s="598" t="s">
        <v>557</v>
      </c>
    </row>
    <row r="10" spans="11:24" ht="13.5" thickTop="1" x14ac:dyDescent="0.2">
      <c r="L10" s="855" t="s">
        <v>315</v>
      </c>
      <c r="M10" s="596"/>
      <c r="N10" s="3450" t="s">
        <v>256</v>
      </c>
      <c r="O10" s="3451"/>
      <c r="P10" s="3453"/>
      <c r="Q10" s="3452" t="s">
        <v>257</v>
      </c>
      <c r="R10" s="3451"/>
      <c r="S10" s="3453"/>
      <c r="T10" s="3452" t="s">
        <v>756</v>
      </c>
      <c r="U10" s="3451"/>
      <c r="V10" s="3454"/>
    </row>
    <row r="11" spans="11:24" x14ac:dyDescent="0.2">
      <c r="L11" s="855" t="s">
        <v>316</v>
      </c>
      <c r="N11" s="110" t="s">
        <v>249</v>
      </c>
      <c r="O11" s="36" t="s">
        <v>247</v>
      </c>
      <c r="P11" s="36"/>
      <c r="Q11" s="35" t="s">
        <v>249</v>
      </c>
      <c r="R11" s="36" t="s">
        <v>247</v>
      </c>
      <c r="S11" s="37"/>
      <c r="T11" s="35" t="s">
        <v>249</v>
      </c>
      <c r="U11" s="36" t="s">
        <v>247</v>
      </c>
      <c r="V11" s="109"/>
    </row>
    <row r="12" spans="11:24" ht="13.5" thickBot="1" x14ac:dyDescent="0.25">
      <c r="K12"/>
      <c r="L12" s="855" t="s">
        <v>317</v>
      </c>
      <c r="N12" s="526" t="s">
        <v>248</v>
      </c>
      <c r="O12" s="463" t="s">
        <v>246</v>
      </c>
      <c r="P12" s="463" t="s">
        <v>244</v>
      </c>
      <c r="Q12" s="683" t="s">
        <v>248</v>
      </c>
      <c r="R12" s="463" t="s">
        <v>246</v>
      </c>
      <c r="S12" s="684" t="s">
        <v>244</v>
      </c>
      <c r="T12" s="683" t="s">
        <v>248</v>
      </c>
      <c r="U12" s="463" t="s">
        <v>246</v>
      </c>
      <c r="V12" s="685" t="s">
        <v>244</v>
      </c>
    </row>
    <row r="13" spans="11:24" ht="14.25" thickTop="1" thickBot="1" x14ac:dyDescent="0.25">
      <c r="L13" s="855">
        <f>HS_VeauBou</f>
        <v>0</v>
      </c>
      <c r="M13" s="1221" t="s">
        <v>197</v>
      </c>
      <c r="N13" s="1226">
        <f>Paramètres!EQ6</f>
        <v>4.2</v>
      </c>
      <c r="O13" s="1227"/>
      <c r="P13" s="1227"/>
      <c r="Q13" s="1228">
        <f>Paramètres!ET6</f>
        <v>2.2999999999999998</v>
      </c>
      <c r="R13" s="1227"/>
      <c r="S13" s="1229"/>
      <c r="T13" s="1228">
        <f>Paramètres!EW6</f>
        <v>4</v>
      </c>
      <c r="U13" s="1227"/>
      <c r="V13" s="1230"/>
    </row>
    <row r="14" spans="11:24" ht="13.5" thickTop="1" x14ac:dyDescent="0.2">
      <c r="L14"/>
      <c r="M14"/>
      <c r="N14"/>
      <c r="O14"/>
      <c r="P14"/>
      <c r="Q14"/>
      <c r="R14"/>
      <c r="S14"/>
      <c r="T14"/>
      <c r="U14"/>
      <c r="V14"/>
      <c r="W14"/>
      <c r="X14"/>
    </row>
    <row r="15" spans="11:24" x14ac:dyDescent="0.2">
      <c r="L15"/>
      <c r="M15"/>
      <c r="N15"/>
      <c r="O15"/>
      <c r="P15"/>
      <c r="Q15"/>
      <c r="R15"/>
      <c r="S15"/>
      <c r="T15"/>
      <c r="U15"/>
      <c r="V15"/>
      <c r="W15"/>
      <c r="X15"/>
    </row>
    <row r="16" spans="11:24" x14ac:dyDescent="0.2">
      <c r="L16"/>
      <c r="M16"/>
      <c r="N16"/>
      <c r="O16"/>
      <c r="P16"/>
      <c r="Q16"/>
      <c r="R16"/>
      <c r="S16"/>
      <c r="T16"/>
      <c r="U16"/>
      <c r="V16"/>
      <c r="W16"/>
      <c r="X16"/>
    </row>
    <row r="17" spans="12:23" x14ac:dyDescent="0.2">
      <c r="M17"/>
      <c r="N17"/>
      <c r="O17"/>
      <c r="P17"/>
      <c r="Q17"/>
      <c r="R17"/>
      <c r="S17"/>
      <c r="T17"/>
      <c r="U17"/>
      <c r="V17"/>
    </row>
    <row r="18" spans="12:23" x14ac:dyDescent="0.2">
      <c r="M18" s="47"/>
      <c r="N18" s="41"/>
      <c r="O18" s="41"/>
      <c r="P18" s="41"/>
      <c r="Q18" s="41"/>
      <c r="R18" s="41"/>
      <c r="S18" s="41"/>
      <c r="T18" s="41"/>
      <c r="U18" s="41"/>
      <c r="V18" s="41"/>
    </row>
    <row r="19" spans="12:23" x14ac:dyDescent="0.2">
      <c r="L19"/>
      <c r="M19"/>
      <c r="N19"/>
      <c r="O19"/>
      <c r="P19"/>
      <c r="Q19"/>
      <c r="R19"/>
      <c r="S19"/>
      <c r="T19"/>
      <c r="U19"/>
      <c r="V19"/>
      <c r="W19"/>
    </row>
    <row r="20" spans="12:23" x14ac:dyDescent="0.2">
      <c r="L20"/>
      <c r="M20"/>
      <c r="N20"/>
      <c r="O20"/>
      <c r="P20"/>
      <c r="Q20"/>
      <c r="R20"/>
      <c r="S20"/>
      <c r="T20"/>
      <c r="U20"/>
      <c r="V20"/>
      <c r="W20"/>
    </row>
    <row r="21" spans="12:23" x14ac:dyDescent="0.2">
      <c r="L21"/>
      <c r="M21"/>
      <c r="N21"/>
      <c r="O21"/>
      <c r="P21"/>
      <c r="Q21"/>
      <c r="R21"/>
      <c r="S21"/>
      <c r="T21"/>
      <c r="U21"/>
      <c r="V21"/>
      <c r="W21"/>
    </row>
    <row r="22" spans="12:23" x14ac:dyDescent="0.2">
      <c r="L22"/>
      <c r="M22"/>
      <c r="N22"/>
      <c r="O22"/>
      <c r="P22"/>
      <c r="Q22"/>
      <c r="R22"/>
      <c r="S22"/>
      <c r="T22"/>
      <c r="U22"/>
      <c r="V22"/>
      <c r="W22"/>
    </row>
    <row r="23" spans="12:23" x14ac:dyDescent="0.2">
      <c r="L23"/>
      <c r="M23"/>
      <c r="N23"/>
      <c r="O23"/>
      <c r="P23"/>
      <c r="Q23"/>
      <c r="R23"/>
      <c r="S23"/>
      <c r="T23"/>
      <c r="U23"/>
      <c r="V23"/>
      <c r="W23"/>
    </row>
    <row r="24" spans="12:23" x14ac:dyDescent="0.2">
      <c r="L24"/>
      <c r="M24"/>
      <c r="N24"/>
      <c r="O24"/>
      <c r="P24"/>
      <c r="Q24"/>
      <c r="R24"/>
      <c r="S24"/>
      <c r="T24"/>
      <c r="U24"/>
      <c r="V24"/>
      <c r="W24"/>
    </row>
    <row r="25" spans="12:23" x14ac:dyDescent="0.2">
      <c r="L25"/>
      <c r="M25"/>
      <c r="N25"/>
      <c r="O25"/>
      <c r="P25"/>
      <c r="Q25"/>
      <c r="R25"/>
      <c r="S25"/>
      <c r="T25"/>
      <c r="U25"/>
      <c r="V25"/>
      <c r="W25"/>
    </row>
    <row r="26" spans="12:23" x14ac:dyDescent="0.2">
      <c r="L26"/>
      <c r="M26"/>
      <c r="N26"/>
      <c r="O26"/>
      <c r="P26"/>
      <c r="Q26"/>
      <c r="R26"/>
      <c r="S26"/>
      <c r="T26"/>
      <c r="U26"/>
      <c r="V26"/>
      <c r="W26"/>
    </row>
    <row r="27" spans="12:23" x14ac:dyDescent="0.2">
      <c r="L27"/>
      <c r="M27"/>
      <c r="N27"/>
      <c r="O27"/>
      <c r="P27"/>
      <c r="Q27"/>
      <c r="R27"/>
      <c r="S27"/>
      <c r="T27"/>
      <c r="U27"/>
      <c r="V27"/>
      <c r="W27"/>
    </row>
    <row r="28" spans="12:23" x14ac:dyDescent="0.2">
      <c r="L28"/>
      <c r="M28"/>
      <c r="N28"/>
      <c r="O28"/>
      <c r="P28"/>
      <c r="Q28"/>
      <c r="R28"/>
      <c r="S28"/>
      <c r="T28"/>
      <c r="U28"/>
      <c r="V28"/>
      <c r="W28"/>
    </row>
    <row r="29" spans="12:23" x14ac:dyDescent="0.2">
      <c r="L29"/>
      <c r="M29"/>
      <c r="N29"/>
      <c r="O29"/>
      <c r="P29"/>
      <c r="Q29"/>
      <c r="R29"/>
      <c r="S29"/>
      <c r="T29"/>
      <c r="U29"/>
      <c r="V29"/>
      <c r="W29"/>
    </row>
  </sheetData>
  <sheetProtection algorithmName="SHA-512" hashValue="SETavkC/yPGGJjhB5JQqMpwfeHhInMfydBvd7YeoynKofri2FtoagspGZP9jg4n1GMiNpA/cwVPOi/kCjM1GrQ==" saltValue="cEFP/JdQuxxCylen24y7vg==" spinCount="100000" sheet="1" objects="1" scenarios="1"/>
  <mergeCells count="6">
    <mergeCell ref="T3:V3"/>
    <mergeCell ref="T10:V10"/>
    <mergeCell ref="N3:P3"/>
    <mergeCell ref="Q3:S3"/>
    <mergeCell ref="N10:P10"/>
    <mergeCell ref="Q10:S10"/>
  </mergeCells>
  <phoneticPr fontId="14" type="noConversion"/>
  <pageMargins left="0.78740157499999996" right="0.78740157499999996" top="0.984251969" bottom="0.984251969" header="0.4921259845" footer="0.492125984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2:AO77"/>
  <sheetViews>
    <sheetView topLeftCell="L1" workbookViewId="0"/>
  </sheetViews>
  <sheetFormatPr baseColWidth="10" defaultColWidth="11.42578125" defaultRowHeight="12.75" x14ac:dyDescent="0.2"/>
  <cols>
    <col min="1" max="11" width="1.5703125" style="32" hidden="1" customWidth="1"/>
    <col min="12" max="12" width="7.28515625" style="32" customWidth="1"/>
    <col min="13" max="13" width="39.7109375" style="32" bestFit="1" customWidth="1"/>
    <col min="14" max="14" width="8.42578125" style="32" customWidth="1"/>
    <col min="15" max="15" width="10" style="32" customWidth="1"/>
    <col min="16" max="16" width="8.42578125" style="32" customWidth="1"/>
    <col min="17" max="17" width="7.7109375" style="32" customWidth="1"/>
    <col min="18" max="18" width="10" style="32" customWidth="1"/>
    <col min="19" max="20" width="7.7109375" style="32" customWidth="1"/>
    <col min="21" max="21" width="10" style="32" customWidth="1"/>
    <col min="22" max="22" width="7.7109375" style="32" customWidth="1"/>
    <col min="23" max="23" width="11.42578125" style="32"/>
    <col min="24" max="25" width="31.5703125" style="32" customWidth="1"/>
    <col min="26" max="26" width="11.42578125" style="32"/>
    <col min="27" max="27" width="2" style="32" customWidth="1"/>
    <col min="28" max="28" width="35.5703125" style="32" customWidth="1"/>
    <col min="29" max="29" width="2" style="32" customWidth="1"/>
    <col min="30" max="30" width="11.140625" style="32" customWidth="1"/>
    <col min="31" max="31" width="2" style="32" customWidth="1"/>
    <col min="32" max="34" width="11.140625" style="32" customWidth="1"/>
    <col min="35" max="35" width="5" style="32" customWidth="1"/>
    <col min="36" max="36" width="5.7109375" style="32" customWidth="1"/>
    <col min="37" max="38" width="5.5703125" style="32" customWidth="1"/>
    <col min="39" max="39" width="4.7109375" style="32" customWidth="1"/>
    <col min="40" max="40" width="5.5703125" style="32" customWidth="1"/>
    <col min="41" max="41" width="11.42578125" style="32" customWidth="1"/>
    <col min="42" max="16384" width="11.42578125" style="32"/>
  </cols>
  <sheetData>
    <row r="2" spans="11:22" ht="13.5" thickBot="1" x14ac:dyDescent="0.25">
      <c r="V2" s="33" t="s">
        <v>120</v>
      </c>
    </row>
    <row r="3" spans="11:22" ht="13.5" thickTop="1" x14ac:dyDescent="0.2">
      <c r="N3" s="3450" t="s">
        <v>450</v>
      </c>
      <c r="O3" s="3451"/>
      <c r="P3" s="3453"/>
      <c r="Q3" s="3452" t="s">
        <v>451</v>
      </c>
      <c r="R3" s="3451"/>
      <c r="S3" s="3453"/>
      <c r="T3" s="3452" t="s">
        <v>755</v>
      </c>
      <c r="U3" s="3451"/>
      <c r="V3" s="3454"/>
    </row>
    <row r="4" spans="11:22" x14ac:dyDescent="0.2">
      <c r="N4" s="110" t="s">
        <v>249</v>
      </c>
      <c r="O4" s="36" t="s">
        <v>247</v>
      </c>
      <c r="P4" s="36"/>
      <c r="Q4" s="35" t="s">
        <v>249</v>
      </c>
      <c r="R4" s="36" t="s">
        <v>247</v>
      </c>
      <c r="S4" s="37"/>
      <c r="T4" s="35" t="s">
        <v>249</v>
      </c>
      <c r="U4" s="36" t="s">
        <v>247</v>
      </c>
      <c r="V4" s="109"/>
    </row>
    <row r="5" spans="11:22" ht="13.5" thickBot="1" x14ac:dyDescent="0.25">
      <c r="N5" s="526" t="s">
        <v>248</v>
      </c>
      <c r="O5" s="463" t="s">
        <v>246</v>
      </c>
      <c r="P5" s="463" t="s">
        <v>244</v>
      </c>
      <c r="Q5" s="683" t="s">
        <v>248</v>
      </c>
      <c r="R5" s="463" t="s">
        <v>246</v>
      </c>
      <c r="S5" s="684" t="s">
        <v>244</v>
      </c>
      <c r="T5" s="683" t="s">
        <v>248</v>
      </c>
      <c r="U5" s="463" t="s">
        <v>246</v>
      </c>
      <c r="V5" s="685" t="s">
        <v>244</v>
      </c>
    </row>
    <row r="6" spans="11:22" ht="13.5" thickTop="1" x14ac:dyDescent="0.2">
      <c r="M6" s="1366" t="s">
        <v>1002</v>
      </c>
      <c r="N6" s="730">
        <f>N17*$L17+N25*$L25</f>
        <v>0</v>
      </c>
      <c r="O6" s="69"/>
      <c r="P6" s="69">
        <f>N6+O6</f>
        <v>0</v>
      </c>
      <c r="Q6" s="730">
        <f>Q17*$L17+Q25*$L25</f>
        <v>0</v>
      </c>
      <c r="R6" s="69"/>
      <c r="S6" s="69">
        <f>Q6+R6</f>
        <v>0</v>
      </c>
      <c r="T6" s="730">
        <f>T17*$L17+T25*$L25</f>
        <v>0</v>
      </c>
      <c r="U6" s="69"/>
      <c r="V6" s="731">
        <f>T6+U6</f>
        <v>0</v>
      </c>
    </row>
    <row r="7" spans="11:22" x14ac:dyDescent="0.2">
      <c r="M7" s="1367" t="s">
        <v>1003</v>
      </c>
      <c r="N7" s="730">
        <f>N18*$L18+N26*$L26</f>
        <v>0</v>
      </c>
      <c r="O7" s="69"/>
      <c r="P7" s="69">
        <f>N7+O7</f>
        <v>0</v>
      </c>
      <c r="Q7" s="730">
        <f>Q18*$L18+Q26*$L26</f>
        <v>0</v>
      </c>
      <c r="R7" s="69"/>
      <c r="S7" s="69">
        <f>Q7+R7</f>
        <v>0</v>
      </c>
      <c r="T7" s="730">
        <f>T18*$L18+T26*$L26</f>
        <v>0</v>
      </c>
      <c r="U7" s="69"/>
      <c r="V7" s="731">
        <f>T7+U7</f>
        <v>0</v>
      </c>
    </row>
    <row r="8" spans="11:22" x14ac:dyDescent="0.2">
      <c r="M8" s="1367" t="s">
        <v>1004</v>
      </c>
      <c r="N8" s="730">
        <f>N19*$L19+N27*$L27</f>
        <v>0</v>
      </c>
      <c r="O8" s="69"/>
      <c r="P8" s="69">
        <f>N8+O8</f>
        <v>0</v>
      </c>
      <c r="Q8" s="730">
        <f>Q19*$L19+Q27*$L27</f>
        <v>0</v>
      </c>
      <c r="R8" s="69"/>
      <c r="S8" s="69">
        <f>Q8+R8</f>
        <v>0</v>
      </c>
      <c r="T8" s="730">
        <f>T19*$L19+T27*$L27</f>
        <v>0</v>
      </c>
      <c r="U8" s="69"/>
      <c r="V8" s="731">
        <f>T8+U8</f>
        <v>0</v>
      </c>
    </row>
    <row r="9" spans="11:22" ht="13.5" thickBot="1" x14ac:dyDescent="0.25">
      <c r="M9" s="1368" t="s">
        <v>1005</v>
      </c>
      <c r="N9" s="732">
        <f>N20*$L20+N28*$L28</f>
        <v>0</v>
      </c>
      <c r="O9" s="1292"/>
      <c r="P9" s="1292">
        <f>N9+O9</f>
        <v>0</v>
      </c>
      <c r="Q9" s="732">
        <f>Q20*$L20+Q28*$L28</f>
        <v>0</v>
      </c>
      <c r="R9" s="1292"/>
      <c r="S9" s="1292">
        <f>Q9+R9</f>
        <v>0</v>
      </c>
      <c r="T9" s="732">
        <f>T20*$L20+T28*$L28</f>
        <v>0</v>
      </c>
      <c r="U9" s="1292"/>
      <c r="V9" s="733">
        <f>T9+U9</f>
        <v>0</v>
      </c>
    </row>
    <row r="10" spans="11:22" ht="14.25" thickTop="1" thickBot="1" x14ac:dyDescent="0.25">
      <c r="M10" s="677" t="s">
        <v>244</v>
      </c>
      <c r="N10" s="1293">
        <f>SUM(N6:N9)</f>
        <v>0</v>
      </c>
      <c r="O10" s="100">
        <f t="shared" ref="O10:V10" si="0">SUM(O6:O9)</f>
        <v>0</v>
      </c>
      <c r="P10" s="100">
        <f t="shared" si="0"/>
        <v>0</v>
      </c>
      <c r="Q10" s="99">
        <f t="shared" si="0"/>
        <v>0</v>
      </c>
      <c r="R10" s="100">
        <f t="shared" si="0"/>
        <v>0</v>
      </c>
      <c r="S10" s="101">
        <f t="shared" si="0"/>
        <v>0</v>
      </c>
      <c r="T10" s="100">
        <f t="shared" si="0"/>
        <v>0</v>
      </c>
      <c r="U10" s="100">
        <f t="shared" si="0"/>
        <v>0</v>
      </c>
      <c r="V10" s="1294">
        <f t="shared" si="0"/>
        <v>0</v>
      </c>
    </row>
    <row r="11" spans="11:22" ht="13.5" thickTop="1" x14ac:dyDescent="0.2"/>
    <row r="13" spans="11:22" ht="13.5" thickBot="1" x14ac:dyDescent="0.25">
      <c r="M13"/>
    </row>
    <row r="14" spans="11:22" ht="13.5" thickTop="1" x14ac:dyDescent="0.2">
      <c r="L14" s="855" t="s">
        <v>315</v>
      </c>
      <c r="M14" s="596" t="s">
        <v>1000</v>
      </c>
      <c r="N14" s="3450" t="s">
        <v>256</v>
      </c>
      <c r="O14" s="3451"/>
      <c r="P14" s="3453"/>
      <c r="Q14" s="3452" t="s">
        <v>257</v>
      </c>
      <c r="R14" s="3451"/>
      <c r="S14" s="3453"/>
      <c r="T14" s="3452" t="s">
        <v>756</v>
      </c>
      <c r="U14" s="3451"/>
      <c r="V14" s="3454"/>
    </row>
    <row r="15" spans="11:22" x14ac:dyDescent="0.2">
      <c r="L15" s="855" t="s">
        <v>316</v>
      </c>
      <c r="N15" s="110" t="s">
        <v>249</v>
      </c>
      <c r="O15" s="36" t="s">
        <v>247</v>
      </c>
      <c r="P15" s="36"/>
      <c r="Q15" s="35" t="s">
        <v>249</v>
      </c>
      <c r="R15" s="36" t="s">
        <v>247</v>
      </c>
      <c r="S15" s="37"/>
      <c r="T15" s="35" t="s">
        <v>249</v>
      </c>
      <c r="U15" s="36" t="s">
        <v>247</v>
      </c>
      <c r="V15" s="109"/>
    </row>
    <row r="16" spans="11:22" ht="13.5" thickBot="1" x14ac:dyDescent="0.25">
      <c r="K16"/>
      <c r="L16" s="855" t="s">
        <v>317</v>
      </c>
      <c r="N16" s="526" t="s">
        <v>248</v>
      </c>
      <c r="O16" s="463" t="s">
        <v>246</v>
      </c>
      <c r="P16" s="463" t="s">
        <v>244</v>
      </c>
      <c r="Q16" s="683" t="s">
        <v>248</v>
      </c>
      <c r="R16" s="463" t="s">
        <v>246</v>
      </c>
      <c r="S16" s="684" t="s">
        <v>244</v>
      </c>
      <c r="T16" s="683" t="s">
        <v>248</v>
      </c>
      <c r="U16" s="463" t="s">
        <v>246</v>
      </c>
      <c r="V16" s="685" t="s">
        <v>244</v>
      </c>
    </row>
    <row r="17" spans="12:41" ht="13.5" thickTop="1" x14ac:dyDescent="0.2">
      <c r="L17" s="855">
        <f>HS_PorTruCla</f>
        <v>0</v>
      </c>
      <c r="M17" s="1366" t="s">
        <v>1002</v>
      </c>
      <c r="N17" s="1354">
        <f>SUM(AD22,AD34,AF34,AD41,AF41)</f>
        <v>0</v>
      </c>
      <c r="O17" s="1355"/>
      <c r="P17" s="1355"/>
      <c r="Q17" s="1356">
        <f>SUM(AJ22,AJ34,AJ41)</f>
        <v>0</v>
      </c>
      <c r="R17" s="1355"/>
      <c r="S17" s="1357"/>
      <c r="T17" s="1356">
        <f>SUM(AM22,AM34,AM41)</f>
        <v>0</v>
      </c>
      <c r="U17" s="597"/>
      <c r="V17" s="674"/>
    </row>
    <row r="18" spans="12:41" x14ac:dyDescent="0.2">
      <c r="L18" s="855">
        <f>HS_PorLetCla</f>
        <v>0</v>
      </c>
      <c r="M18" s="1367" t="s">
        <v>1003</v>
      </c>
      <c r="N18" s="1354">
        <f>SUM(AD23,,AD35,AF35,AD42,AF42)</f>
        <v>0</v>
      </c>
      <c r="O18" s="1355"/>
      <c r="P18" s="1355"/>
      <c r="Q18" s="1356">
        <f>SUM(AJ23,AJ35,AJ42)</f>
        <v>0</v>
      </c>
      <c r="R18" s="1355"/>
      <c r="S18" s="1357"/>
      <c r="T18" s="1356">
        <f>SUM(AM23,AM35,AM42)</f>
        <v>0</v>
      </c>
      <c r="U18" s="597"/>
      <c r="V18" s="674"/>
      <c r="AB18" s="47"/>
      <c r="AC18" s="47"/>
      <c r="AD18"/>
      <c r="AE18"/>
      <c r="AF18"/>
      <c r="AG18" s="527" t="s">
        <v>186</v>
      </c>
      <c r="AH18" s="527" t="s">
        <v>186</v>
      </c>
      <c r="AJ18" s="527" t="s">
        <v>187</v>
      </c>
      <c r="AM18" s="527" t="s">
        <v>665</v>
      </c>
    </row>
    <row r="19" spans="12:41" x14ac:dyDescent="0.2">
      <c r="L19" s="855">
        <f>HS_PorCrFCla</f>
        <v>0</v>
      </c>
      <c r="M19" s="1367" t="s">
        <v>1004</v>
      </c>
      <c r="N19" s="1354">
        <f>SUM(AD24,AD29,AF29,AD36,AF36,AD43,AF43)+SUM(AD26,AD31,AF31,AD38,AF38,AD45,AF45)</f>
        <v>0</v>
      </c>
      <c r="O19" s="1355"/>
      <c r="P19" s="1355"/>
      <c r="Q19" s="1356">
        <f>SUM(AJ24,AJ29,AJ36,AJ43)+SUM(AJ26,AJ31,AJ38,AJ45)</f>
        <v>0</v>
      </c>
      <c r="R19" s="1355"/>
      <c r="S19" s="1357"/>
      <c r="T19" s="1356">
        <f>SUM(AM24,AM29,AM36,AM43)+SUM(AM26,AM31,AM38,AM45)</f>
        <v>0</v>
      </c>
      <c r="U19" s="597"/>
      <c r="V19" s="674"/>
      <c r="AB19" s="47"/>
      <c r="AC19" s="47"/>
      <c r="AD19" s="1362" t="s">
        <v>1007</v>
      </c>
      <c r="AE19" s="1362"/>
      <c r="AF19" s="1362" t="s">
        <v>1006</v>
      </c>
      <c r="AG19" s="1362" t="s">
        <v>1007</v>
      </c>
      <c r="AH19" s="1362" t="s">
        <v>1006</v>
      </c>
    </row>
    <row r="20" spans="12:41" ht="13.5" thickBot="1" x14ac:dyDescent="0.25">
      <c r="L20" s="855">
        <f>HS_PorCocCla</f>
        <v>0</v>
      </c>
      <c r="M20" s="1368" t="s">
        <v>1005</v>
      </c>
      <c r="N20" s="1358">
        <f>SUM(AD25,AD30,AF30,AD37,AF37,AD44,AF44)</f>
        <v>0</v>
      </c>
      <c r="O20" s="1359"/>
      <c r="P20" s="1359"/>
      <c r="Q20" s="1360">
        <f>SUM(AJ25,AJ30,AJ37,AJ44)</f>
        <v>0</v>
      </c>
      <c r="R20" s="1359"/>
      <c r="S20" s="1361"/>
      <c r="T20" s="1360">
        <f>SUM(AM25,AM30,AM37,AM44)</f>
        <v>0</v>
      </c>
      <c r="U20" s="681"/>
      <c r="V20" s="682"/>
      <c r="AB20" s="1363" t="s">
        <v>1000</v>
      </c>
      <c r="AC20" s="1363"/>
      <c r="AD20" s="1362" t="s">
        <v>1008</v>
      </c>
      <c r="AE20" s="1362"/>
      <c r="AF20" s="1362" t="s">
        <v>1008</v>
      </c>
      <c r="AG20" s="1362" t="s">
        <v>1008</v>
      </c>
      <c r="AH20" s="1362" t="s">
        <v>1008</v>
      </c>
    </row>
    <row r="21" spans="12:41" ht="14.25" thickTop="1" thickBot="1" x14ac:dyDescent="0.25">
      <c r="M21"/>
      <c r="N21"/>
      <c r="O21"/>
      <c r="P21"/>
      <c r="Q21"/>
      <c r="R21"/>
      <c r="S21"/>
      <c r="T21"/>
      <c r="U21"/>
      <c r="V21"/>
      <c r="AA21"/>
      <c r="AB21" s="1364" t="s">
        <v>999</v>
      </c>
      <c r="AC21" s="1364"/>
      <c r="AD21"/>
      <c r="AE21"/>
      <c r="AF21"/>
      <c r="AG21"/>
      <c r="AH21"/>
    </row>
    <row r="22" spans="12:41" ht="13.5" thickTop="1" x14ac:dyDescent="0.2">
      <c r="L22" s="855" t="s">
        <v>315</v>
      </c>
      <c r="M22" s="596" t="s">
        <v>1001</v>
      </c>
      <c r="N22" s="3450" t="s">
        <v>256</v>
      </c>
      <c r="O22" s="3451"/>
      <c r="P22" s="3453"/>
      <c r="Q22" s="3452" t="s">
        <v>257</v>
      </c>
      <c r="R22" s="3451"/>
      <c r="S22" s="3453"/>
      <c r="T22" s="3452" t="s">
        <v>756</v>
      </c>
      <c r="U22" s="3451"/>
      <c r="V22" s="3454"/>
      <c r="AA22" s="1332">
        <f>IF(Saisies_Exploitation!G$244=AB21,1,0)</f>
        <v>0</v>
      </c>
      <c r="AB22" s="1351" t="s">
        <v>1002</v>
      </c>
      <c r="AC22"/>
      <c r="AD22">
        <f>AG22*AA22</f>
        <v>0</v>
      </c>
      <c r="AE22"/>
      <c r="AF22"/>
      <c r="AG22" s="1374">
        <f>Paramètres!FB6</f>
        <v>17.399999999999999</v>
      </c>
      <c r="AH22"/>
      <c r="AI22"/>
      <c r="AJ22">
        <f>AK22*AA22</f>
        <v>0</v>
      </c>
      <c r="AK22" s="1374">
        <f>Paramètres!FD6</f>
        <v>14.1</v>
      </c>
      <c r="AM22">
        <f>AN22*AA22</f>
        <v>0</v>
      </c>
      <c r="AN22" s="1374">
        <f>Paramètres!FE6</f>
        <v>9.3000000000000007</v>
      </c>
    </row>
    <row r="23" spans="12:41" x14ac:dyDescent="0.2">
      <c r="L23" s="855" t="s">
        <v>316</v>
      </c>
      <c r="N23" s="110" t="s">
        <v>249</v>
      </c>
      <c r="O23" s="36" t="s">
        <v>247</v>
      </c>
      <c r="P23" s="36"/>
      <c r="Q23" s="35" t="s">
        <v>249</v>
      </c>
      <c r="R23" s="36" t="s">
        <v>247</v>
      </c>
      <c r="S23" s="37"/>
      <c r="T23" s="35" t="s">
        <v>249</v>
      </c>
      <c r="U23" s="36" t="s">
        <v>247</v>
      </c>
      <c r="V23" s="109"/>
      <c r="AA23" s="1332">
        <f>IF(Saisies_Exploitation!G$245=AB21,1,0)</f>
        <v>0</v>
      </c>
      <c r="AB23" s="1351" t="s">
        <v>1003</v>
      </c>
      <c r="AC23"/>
      <c r="AD23">
        <f>AG23*AA23</f>
        <v>0</v>
      </c>
      <c r="AE23"/>
      <c r="AF23"/>
      <c r="AG23" s="1374">
        <f>Paramètres!FB7</f>
        <v>0.44</v>
      </c>
      <c r="AH23"/>
      <c r="AI23"/>
      <c r="AJ23">
        <f>AK23*AA23</f>
        <v>0</v>
      </c>
      <c r="AK23" s="1374">
        <f>Paramètres!FD7</f>
        <v>0.31</v>
      </c>
      <c r="AM23">
        <f>AN23*AA23</f>
        <v>0</v>
      </c>
      <c r="AN23" s="1374">
        <f>Paramètres!FE7</f>
        <v>0.34</v>
      </c>
    </row>
    <row r="24" spans="12:41" ht="13.5" thickBot="1" x14ac:dyDescent="0.25">
      <c r="L24" s="855" t="s">
        <v>317</v>
      </c>
      <c r="N24" s="526" t="s">
        <v>248</v>
      </c>
      <c r="O24" s="463" t="s">
        <v>246</v>
      </c>
      <c r="P24" s="463" t="s">
        <v>244</v>
      </c>
      <c r="Q24" s="683" t="s">
        <v>248</v>
      </c>
      <c r="R24" s="463" t="s">
        <v>246</v>
      </c>
      <c r="S24" s="684" t="s">
        <v>244</v>
      </c>
      <c r="T24" s="683" t="s">
        <v>248</v>
      </c>
      <c r="U24" s="463" t="s">
        <v>246</v>
      </c>
      <c r="V24" s="685" t="s">
        <v>244</v>
      </c>
      <c r="AA24" s="1332">
        <f>IF(Saisies_Exploitation!G$246=AB21,1,0)</f>
        <v>0</v>
      </c>
      <c r="AB24" s="1351" t="s">
        <v>1004</v>
      </c>
      <c r="AC24"/>
      <c r="AD24">
        <f>AG24*AA24</f>
        <v>0</v>
      </c>
      <c r="AE24"/>
      <c r="AF24"/>
      <c r="AG24" s="1374">
        <f>Paramètres!FB8</f>
        <v>3.17</v>
      </c>
      <c r="AH24"/>
      <c r="AI24"/>
      <c r="AJ24">
        <f>AK24*AA24</f>
        <v>0</v>
      </c>
      <c r="AK24" s="1374">
        <f>Paramètres!FD8</f>
        <v>2.12</v>
      </c>
      <c r="AM24">
        <f>AN24*AA24</f>
        <v>0</v>
      </c>
      <c r="AN24" s="1374">
        <f>Paramètres!FE8</f>
        <v>1.9</v>
      </c>
    </row>
    <row r="25" spans="12:41" ht="13.5" thickTop="1" x14ac:dyDescent="0.2">
      <c r="L25" s="855">
        <f>HS_PorTruBi</f>
        <v>0</v>
      </c>
      <c r="M25" s="1366" t="s">
        <v>1002</v>
      </c>
      <c r="N25" s="1354">
        <f>SUM(AD51,AD63,AF63,AD70,AF70)</f>
        <v>0</v>
      </c>
      <c r="O25" s="1355"/>
      <c r="P25" s="1355"/>
      <c r="Q25" s="1356">
        <f>SUM(AJ51,AJ63,AJ70)</f>
        <v>0</v>
      </c>
      <c r="R25" s="1355"/>
      <c r="S25" s="1357"/>
      <c r="T25" s="1356">
        <f>SUM(AM51,AM63,AM70)</f>
        <v>0</v>
      </c>
      <c r="U25" s="597"/>
      <c r="V25" s="674"/>
      <c r="AA25" s="1332">
        <f>IF(Saisies_Exploitation!G$247=AB21,1,0)</f>
        <v>0</v>
      </c>
      <c r="AB25" s="1351" t="s">
        <v>1005</v>
      </c>
      <c r="AC25"/>
      <c r="AD25">
        <f>AG25*AA25</f>
        <v>0</v>
      </c>
      <c r="AE25"/>
      <c r="AF25"/>
      <c r="AG25" s="1374">
        <f>Paramètres!FB9</f>
        <v>4.0999999999999996</v>
      </c>
      <c r="AH25"/>
      <c r="AI25"/>
      <c r="AJ25">
        <f>AK25*AA25</f>
        <v>0</v>
      </c>
      <c r="AK25" s="1374">
        <f>Paramètres!FD9</f>
        <v>2.37</v>
      </c>
      <c r="AM25">
        <f>AN25*AA25</f>
        <v>0</v>
      </c>
      <c r="AN25" s="1374">
        <f>Paramètres!FE9</f>
        <v>2.61</v>
      </c>
    </row>
    <row r="26" spans="12:41" x14ac:dyDescent="0.2">
      <c r="L26" s="855">
        <f>HS_PorLetBi</f>
        <v>0</v>
      </c>
      <c r="M26" s="1367" t="s">
        <v>1003</v>
      </c>
      <c r="N26" s="1354">
        <f>SUM(AD52,AD64,AF64,AD71,AF71)</f>
        <v>0</v>
      </c>
      <c r="O26" s="1355"/>
      <c r="P26" s="1355"/>
      <c r="Q26" s="1356">
        <f>SUM(AJ52,AJ64,AJ71)</f>
        <v>0</v>
      </c>
      <c r="R26" s="1355"/>
      <c r="S26" s="1357"/>
      <c r="T26" s="1356">
        <f>SUM(AM52,AM64,AM71)</f>
        <v>0</v>
      </c>
      <c r="U26" s="597"/>
      <c r="V26" s="674"/>
      <c r="AA26"/>
      <c r="AB26" s="1365" t="s">
        <v>2002</v>
      </c>
      <c r="AC26"/>
      <c r="AD26">
        <f>AG26*AA24*$AH$27</f>
        <v>0</v>
      </c>
      <c r="AE26"/>
      <c r="AF26"/>
      <c r="AG26" s="1381">
        <f>Paramètres!FB10</f>
        <v>3.5999999999999997E-2</v>
      </c>
      <c r="AH26"/>
      <c r="AI26"/>
      <c r="AJ26">
        <f>AK26*AA24*$AH$27</f>
        <v>0</v>
      </c>
      <c r="AK26" s="1381">
        <f>Paramètres!FD10</f>
        <v>2.4E-2</v>
      </c>
      <c r="AM26">
        <f>AN26*AA24*$AH$27</f>
        <v>0</v>
      </c>
      <c r="AN26" s="1381">
        <f>Paramètres!FE10</f>
        <v>2.1999999999999999E-2</v>
      </c>
    </row>
    <row r="27" spans="12:41" x14ac:dyDescent="0.2">
      <c r="L27" s="855">
        <f>HS_PorCrFBi</f>
        <v>0</v>
      </c>
      <c r="M27" s="1367" t="s">
        <v>1004</v>
      </c>
      <c r="N27" s="1354">
        <f>SUM(AD53,AD58,AF58,AD65,AF65,AD72,AF72)+SUM(AD55,AD60,AF60,AD67,AF67,AD74,AF74)</f>
        <v>0</v>
      </c>
      <c r="O27" s="1355"/>
      <c r="P27" s="1355"/>
      <c r="Q27" s="1356">
        <f>SUM(AJ53,AJ58,AJ65,AJ72)+SUM(AJ55,AJ60,AJ67,AJ74)</f>
        <v>0</v>
      </c>
      <c r="R27" s="1355"/>
      <c r="S27" s="1357"/>
      <c r="T27" s="1356">
        <f>SUM(AM53,AM58,AM65,AM72)+SUM(AM55,AM60,AM67,AM74)</f>
        <v>0</v>
      </c>
      <c r="U27" s="597"/>
      <c r="V27" s="674"/>
      <c r="W27"/>
      <c r="AA27"/>
      <c r="AB27"/>
      <c r="AC27"/>
      <c r="AD27"/>
      <c r="AE27"/>
      <c r="AF27"/>
      <c r="AG27" s="1372"/>
      <c r="AH27" s="1369">
        <f>IF(HS_PorAbb&lt;=118,0,HS_PorAbb-118)</f>
        <v>0</v>
      </c>
      <c r="AI27"/>
      <c r="AJ27"/>
      <c r="AM27"/>
    </row>
    <row r="28" spans="12:41" ht="13.5" thickBot="1" x14ac:dyDescent="0.25">
      <c r="L28" s="855">
        <f>HS_PorCocBi</f>
        <v>0</v>
      </c>
      <c r="M28" s="1368" t="s">
        <v>1005</v>
      </c>
      <c r="N28" s="1358">
        <f>SUM(AD54,AD59,AF59,AD66,AF66,AD73,AF73)</f>
        <v>0</v>
      </c>
      <c r="O28" s="1359"/>
      <c r="P28" s="1359"/>
      <c r="Q28" s="1360">
        <f>SUM(AJ54,AJ59,AJ66,AJ73)</f>
        <v>0</v>
      </c>
      <c r="R28" s="1359"/>
      <c r="S28" s="1361"/>
      <c r="T28" s="1360">
        <f>SUM(AM54,AM59,AM66,AM73)</f>
        <v>0</v>
      </c>
      <c r="U28" s="681"/>
      <c r="V28" s="682"/>
      <c r="W28"/>
      <c r="AA28"/>
      <c r="AB28" s="1364" t="s">
        <v>1985</v>
      </c>
      <c r="AC28" s="1364"/>
      <c r="AD28"/>
      <c r="AE28"/>
      <c r="AF28"/>
      <c r="AG28"/>
      <c r="AH28"/>
    </row>
    <row r="29" spans="12:41" ht="13.5" thickTop="1" x14ac:dyDescent="0.2">
      <c r="Q29"/>
      <c r="W29"/>
      <c r="AA29" s="1332">
        <f>IF(Saisies_Exploitation!G$246=AB28,1,0)</f>
        <v>0</v>
      </c>
      <c r="AB29" s="1596" t="s">
        <v>1004</v>
      </c>
      <c r="AC29" s="1332">
        <f>IF(Saisies_Exploitation!J$246="Non",1,0)</f>
        <v>0</v>
      </c>
      <c r="AD29">
        <f>AG29*AC29*AA29</f>
        <v>0</v>
      </c>
      <c r="AE29" s="1332">
        <f>IF(Saisies_Exploitation!J$246="Oui",1,0)</f>
        <v>0</v>
      </c>
      <c r="AF29">
        <f>AH29*AE29*AA29</f>
        <v>0</v>
      </c>
      <c r="AG29" s="1374">
        <f>Paramètres!FB13</f>
        <v>3.38</v>
      </c>
      <c r="AH29" s="1374">
        <f>Paramètres!FC13</f>
        <v>2.9</v>
      </c>
      <c r="AI29"/>
      <c r="AJ29">
        <f>AK29*AA29</f>
        <v>0</v>
      </c>
      <c r="AK29" s="1374">
        <f>Paramètres!FD13</f>
        <v>2.0099999999999998</v>
      </c>
      <c r="AM29">
        <f>AN29*AA29</f>
        <v>0</v>
      </c>
      <c r="AN29" s="1374">
        <f>Paramètres!FE13</f>
        <v>1.82</v>
      </c>
    </row>
    <row r="30" spans="12:41" x14ac:dyDescent="0.2">
      <c r="Q30"/>
      <c r="W30"/>
      <c r="AA30" s="1332">
        <f>IF(Saisies_Exploitation!G$247=AB28,1,0)</f>
        <v>0</v>
      </c>
      <c r="AB30" s="1596" t="s">
        <v>1005</v>
      </c>
      <c r="AC30" s="1332">
        <f>IF(Saisies_Exploitation!J$247="Non",1,0)</f>
        <v>0</v>
      </c>
      <c r="AD30">
        <f>AG30*AC30*AA30</f>
        <v>0</v>
      </c>
      <c r="AE30" s="1332">
        <f>IF(Saisies_Exploitation!J$247="Oui",1,0)</f>
        <v>0</v>
      </c>
      <c r="AF30">
        <f>AH30*AE30*AA30</f>
        <v>0</v>
      </c>
      <c r="AG30" s="1374">
        <f>Paramètres!FB14</f>
        <v>4.3716088328075706</v>
      </c>
      <c r="AH30" s="1374">
        <f>Paramètres!FC14</f>
        <v>3.7507886435331228</v>
      </c>
      <c r="AJ30">
        <f>AK30*AA30</f>
        <v>0</v>
      </c>
      <c r="AK30" s="1374">
        <f>Paramètres!FD14</f>
        <v>2.2470283018867923</v>
      </c>
      <c r="AM30">
        <f>AN30*AA30</f>
        <v>0</v>
      </c>
      <c r="AN30" s="1374">
        <f>Paramètres!FE14</f>
        <v>2.5001052631578946</v>
      </c>
    </row>
    <row r="31" spans="12:41" x14ac:dyDescent="0.2">
      <c r="Q31"/>
      <c r="W31"/>
      <c r="AA31"/>
      <c r="AB31" s="1365" t="s">
        <v>2002</v>
      </c>
      <c r="AC31"/>
      <c r="AD31">
        <f>AG31*AC29*AA29*$AH$27</f>
        <v>0</v>
      </c>
      <c r="AE31"/>
      <c r="AF31">
        <f>AH31*AE29*AA29*$AH$27</f>
        <v>0</v>
      </c>
      <c r="AG31" s="1381">
        <f>Paramètres!FB15</f>
        <v>3.9E-2</v>
      </c>
      <c r="AH31" s="1381">
        <f>Paramètres!FC15</f>
        <v>3.3000000000000002E-2</v>
      </c>
      <c r="AJ31">
        <f>AK31*AA29*$AH$27</f>
        <v>0</v>
      </c>
      <c r="AK31" s="1381">
        <f>Paramètres!FD15</f>
        <v>2.4E-2</v>
      </c>
      <c r="AM31">
        <f>AN31*AA29*$AH$27</f>
        <v>0</v>
      </c>
      <c r="AN31" s="1381">
        <f>Paramètres!FE15</f>
        <v>2.1000000000000001E-2</v>
      </c>
      <c r="AO31"/>
    </row>
    <row r="32" spans="12:41" x14ac:dyDescent="0.2">
      <c r="Q32"/>
      <c r="W32"/>
      <c r="AA32"/>
      <c r="AB32"/>
      <c r="AC32"/>
      <c r="AD32"/>
      <c r="AE32"/>
      <c r="AF32"/>
      <c r="AG32" s="1372"/>
      <c r="AH32"/>
      <c r="AI32"/>
      <c r="AJ32"/>
      <c r="AM32"/>
    </row>
    <row r="33" spans="17:41" x14ac:dyDescent="0.2">
      <c r="Q33"/>
      <c r="W33"/>
      <c r="AA33"/>
      <c r="AB33" s="1364" t="s">
        <v>996</v>
      </c>
      <c r="AC33" s="1364"/>
      <c r="AD33"/>
      <c r="AE33"/>
      <c r="AF33"/>
      <c r="AG33" s="1372"/>
      <c r="AH33"/>
      <c r="AI33"/>
      <c r="AJ33"/>
      <c r="AM33"/>
    </row>
    <row r="34" spans="17:41" x14ac:dyDescent="0.2">
      <c r="Q34"/>
      <c r="W34"/>
      <c r="AA34" s="1332">
        <f>IF(Saisies_Exploitation!G$244=AB33,1,0)</f>
        <v>0</v>
      </c>
      <c r="AB34" s="1351" t="s">
        <v>1002</v>
      </c>
      <c r="AC34" s="1332">
        <f>IF(Saisies_Exploitation!J$244="Non",1,0)</f>
        <v>0</v>
      </c>
      <c r="AD34">
        <f>AG34*AC34*AA34</f>
        <v>0</v>
      </c>
      <c r="AE34" s="1332">
        <f>IF(Saisies_Exploitation!J$244="Oui",1,0)</f>
        <v>0</v>
      </c>
      <c r="AF34">
        <f>AH34*AE34*AA34</f>
        <v>0</v>
      </c>
      <c r="AG34" s="1374">
        <f>Paramètres!FB19</f>
        <v>14.4</v>
      </c>
      <c r="AH34" s="1374">
        <f>Paramètres!FC19</f>
        <v>12.1</v>
      </c>
      <c r="AI34"/>
      <c r="AJ34">
        <f>AK34*AA34</f>
        <v>0</v>
      </c>
      <c r="AK34" s="1374">
        <f>Paramètres!FD19</f>
        <v>14.9</v>
      </c>
      <c r="AM34">
        <f>AN34*AA34</f>
        <v>0</v>
      </c>
      <c r="AN34" s="1374">
        <f>Paramètres!FE19</f>
        <v>15</v>
      </c>
    </row>
    <row r="35" spans="17:41" x14ac:dyDescent="0.2">
      <c r="Q35"/>
      <c r="W35"/>
      <c r="AA35" s="1332">
        <f>IF(Saisies_Exploitation!G$245=AB33,1,0)</f>
        <v>0</v>
      </c>
      <c r="AB35" s="1351" t="s">
        <v>1003</v>
      </c>
      <c r="AC35" s="1332">
        <f>IF(Saisies_Exploitation!J$245="Non",1,0)</f>
        <v>0</v>
      </c>
      <c r="AD35">
        <f>AG35*AC35*AA35</f>
        <v>0</v>
      </c>
      <c r="AE35" s="1332">
        <f>IF(Saisies_Exploitation!J$245="Oui",1,0)</f>
        <v>0</v>
      </c>
      <c r="AF35">
        <f>AH35*AE35*AA35</f>
        <v>0</v>
      </c>
      <c r="AG35" s="1374">
        <f>Paramètres!FB20</f>
        <v>0.31</v>
      </c>
      <c r="AH35" s="1374">
        <f>Paramètres!FC20</f>
        <v>0.22</v>
      </c>
      <c r="AI35"/>
      <c r="AJ35">
        <f>AK35*AA35</f>
        <v>0</v>
      </c>
      <c r="AK35" s="1374">
        <f>Paramètres!FD20</f>
        <v>0.32</v>
      </c>
      <c r="AM35">
        <f>AN35*AA35</f>
        <v>0</v>
      </c>
      <c r="AN35" s="1374">
        <f>Paramètres!FE20</f>
        <v>0.46</v>
      </c>
    </row>
    <row r="36" spans="17:41" x14ac:dyDescent="0.2">
      <c r="Q36"/>
      <c r="W36"/>
      <c r="AA36" s="1332">
        <f>IF(Saisies_Exploitation!G$246=AB33,1,0)</f>
        <v>0</v>
      </c>
      <c r="AB36" s="1351" t="s">
        <v>1004</v>
      </c>
      <c r="AC36" s="1332">
        <f>IF(Saisies_Exploitation!J$246="Non",1,0)</f>
        <v>0</v>
      </c>
      <c r="AD36">
        <f>AG36*AC36*AA36</f>
        <v>0</v>
      </c>
      <c r="AE36" s="1332">
        <f>IF(Saisies_Exploitation!J$246="Oui",1,0)</f>
        <v>0</v>
      </c>
      <c r="AF36">
        <f>AH36*AE36*AA36</f>
        <v>0</v>
      </c>
      <c r="AG36" s="1374">
        <f>Paramètres!FB21</f>
        <v>2.23</v>
      </c>
      <c r="AH36" s="1374">
        <f>Paramètres!FC21</f>
        <v>1.62</v>
      </c>
      <c r="AI36"/>
      <c r="AJ36">
        <f>AK36*AA36</f>
        <v>0</v>
      </c>
      <c r="AK36" s="1374">
        <f>Paramètres!FD21</f>
        <v>2.23</v>
      </c>
      <c r="AM36">
        <f>AN36*AA36</f>
        <v>0</v>
      </c>
      <c r="AN36" s="1374">
        <f>Paramètres!FE21</f>
        <v>2.58</v>
      </c>
    </row>
    <row r="37" spans="17:41" x14ac:dyDescent="0.2">
      <c r="AA37" s="1332">
        <f>IF(Saisies_Exploitation!G$247=AB33,1,0)</f>
        <v>0</v>
      </c>
      <c r="AB37" s="1351" t="s">
        <v>1005</v>
      </c>
      <c r="AC37" s="1332">
        <f>IF(Saisies_Exploitation!J$247="Non",1,0)</f>
        <v>0</v>
      </c>
      <c r="AD37">
        <f>AG37*AC37*AA37</f>
        <v>0</v>
      </c>
      <c r="AE37" s="1332">
        <f>IF(Saisies_Exploitation!J$247="Oui",1,0)</f>
        <v>0</v>
      </c>
      <c r="AF37">
        <f>AH37*AE37*AA37</f>
        <v>0</v>
      </c>
      <c r="AG37" s="1374">
        <f>Paramètres!FB22</f>
        <v>2.94</v>
      </c>
      <c r="AH37" s="1374">
        <f>Paramètres!FC22</f>
        <v>2.06</v>
      </c>
      <c r="AJ37">
        <f>AK37*AA37</f>
        <v>0</v>
      </c>
      <c r="AK37" s="1374">
        <f>Paramètres!FD22</f>
        <v>2.99</v>
      </c>
      <c r="AM37">
        <f>AN37*AA37</f>
        <v>0</v>
      </c>
      <c r="AN37" s="1374">
        <f>Paramètres!FE22</f>
        <v>4.04</v>
      </c>
    </row>
    <row r="38" spans="17:41" x14ac:dyDescent="0.2">
      <c r="AA38"/>
      <c r="AB38" s="1365" t="s">
        <v>2002</v>
      </c>
      <c r="AC38"/>
      <c r="AD38">
        <f>AG38*AC36*AA36*$AH$27</f>
        <v>0</v>
      </c>
      <c r="AE38"/>
      <c r="AF38">
        <f>AH38*AE36*AA36*$AH$27</f>
        <v>0</v>
      </c>
      <c r="AG38" s="1381">
        <f>Paramètres!FB23</f>
        <v>2.5999999999999999E-2</v>
      </c>
      <c r="AH38" s="1381">
        <f>Paramètres!FC23</f>
        <v>1.9E-2</v>
      </c>
      <c r="AJ38">
        <f>AK38*AA36*$AH$27</f>
        <v>0</v>
      </c>
      <c r="AK38" s="1381">
        <f>Paramètres!FD23</f>
        <v>2.5999999999999999E-2</v>
      </c>
      <c r="AM38">
        <f>AN38*AA36*$AH$27</f>
        <v>0</v>
      </c>
      <c r="AN38" s="1381">
        <f>Paramètres!FE23</f>
        <v>3.1E-2</v>
      </c>
      <c r="AO38"/>
    </row>
    <row r="39" spans="17:41" x14ac:dyDescent="0.2">
      <c r="AC39"/>
      <c r="AD39"/>
      <c r="AE39"/>
      <c r="AF39"/>
      <c r="AG39" s="1373"/>
      <c r="AH39"/>
      <c r="AJ39"/>
      <c r="AM39"/>
    </row>
    <row r="40" spans="17:41" x14ac:dyDescent="0.2">
      <c r="AB40" s="1364" t="s">
        <v>997</v>
      </c>
      <c r="AC40"/>
      <c r="AD40"/>
      <c r="AE40"/>
      <c r="AF40"/>
      <c r="AG40" s="1373"/>
      <c r="AJ40"/>
      <c r="AM40"/>
    </row>
    <row r="41" spans="17:41" x14ac:dyDescent="0.2">
      <c r="AA41" s="1332">
        <f>IF(Saisies_Exploitation!G$244=AB40,1,0)</f>
        <v>0</v>
      </c>
      <c r="AB41" s="1351" t="s">
        <v>1002</v>
      </c>
      <c r="AC41" s="1332">
        <f>IF(Saisies_Exploitation!J$244="Non",1,0)</f>
        <v>0</v>
      </c>
      <c r="AD41">
        <f>AG41*AC41*AA41</f>
        <v>0</v>
      </c>
      <c r="AE41" s="1332">
        <f>IF(Saisies_Exploitation!J$244="Oui",1,0)</f>
        <v>0</v>
      </c>
      <c r="AF41">
        <f>AH41*AE41*AA41</f>
        <v>0</v>
      </c>
      <c r="AG41" s="1374">
        <f>Paramètres!FB26</f>
        <v>14.3</v>
      </c>
      <c r="AH41" s="1374">
        <f>Paramètres!FC26</f>
        <v>11.8</v>
      </c>
      <c r="AI41"/>
      <c r="AJ41">
        <f>AK41*AA41</f>
        <v>0</v>
      </c>
      <c r="AK41" s="1374">
        <f>Paramètres!FD26</f>
        <v>14.165022421524665</v>
      </c>
      <c r="AM41">
        <f>AN41*AA41</f>
        <v>0</v>
      </c>
      <c r="AN41" s="1374">
        <f>Paramètres!FE26</f>
        <v>11.395348837209301</v>
      </c>
    </row>
    <row r="42" spans="17:41" x14ac:dyDescent="0.2">
      <c r="AA42" s="1332">
        <f>IF(Saisies_Exploitation!G$245=AB40,1,0)</f>
        <v>0</v>
      </c>
      <c r="AB42" s="1351" t="s">
        <v>1003</v>
      </c>
      <c r="AC42" s="1332">
        <f>IF(Saisies_Exploitation!J$245="Non",1,0)</f>
        <v>0</v>
      </c>
      <c r="AD42">
        <f>AG42*AC42*AA42</f>
        <v>0</v>
      </c>
      <c r="AE42" s="1332">
        <f>IF(Saisies_Exploitation!J$245="Oui",1,0)</f>
        <v>0</v>
      </c>
      <c r="AF42">
        <f>AH42*AE42*AA42</f>
        <v>0</v>
      </c>
      <c r="AG42" s="1374">
        <f>Paramètres!FB27</f>
        <v>0.18</v>
      </c>
      <c r="AH42" s="1374">
        <f>Paramètres!FC27</f>
        <v>0.17</v>
      </c>
      <c r="AI42"/>
      <c r="AJ42">
        <f>AK42*AA42</f>
        <v>0</v>
      </c>
      <c r="AK42" s="1374">
        <f>Paramètres!FD27</f>
        <v>0.31</v>
      </c>
      <c r="AM42">
        <f>AN42*AA42</f>
        <v>0</v>
      </c>
      <c r="AN42" s="1374">
        <f>Paramètres!FE27</f>
        <v>0.35</v>
      </c>
    </row>
    <row r="43" spans="17:41" x14ac:dyDescent="0.2">
      <c r="AA43" s="1332">
        <f>IF(Saisies_Exploitation!G$246=AB40,1,0)</f>
        <v>0</v>
      </c>
      <c r="AB43" s="1351" t="s">
        <v>1004</v>
      </c>
      <c r="AC43" s="1332">
        <f>IF(Saisies_Exploitation!J$246="Non",1,0)</f>
        <v>0</v>
      </c>
      <c r="AD43">
        <f>AG43*AC43*AA43</f>
        <v>0</v>
      </c>
      <c r="AE43" s="1332">
        <f>IF(Saisies_Exploitation!J$246="Oui",1,0)</f>
        <v>0</v>
      </c>
      <c r="AF43">
        <f>AH43*AE43*AA43</f>
        <v>0</v>
      </c>
      <c r="AG43" s="1374">
        <f>Paramètres!FB28</f>
        <v>1.35</v>
      </c>
      <c r="AH43" s="1374">
        <f>Paramètres!FC28</f>
        <v>1.21</v>
      </c>
      <c r="AI43"/>
      <c r="AJ43">
        <f>AK43*AA43</f>
        <v>0</v>
      </c>
      <c r="AK43" s="1374">
        <f>Paramètres!FD28</f>
        <v>2.12</v>
      </c>
      <c r="AM43">
        <f>AN43*AA43</f>
        <v>0</v>
      </c>
      <c r="AN43" s="1374">
        <f>Paramètres!FE28</f>
        <v>1.96</v>
      </c>
    </row>
    <row r="44" spans="17:41" x14ac:dyDescent="0.2">
      <c r="AA44" s="1332">
        <f>IF(Saisies_Exploitation!G$247=AB40,1,0)</f>
        <v>0</v>
      </c>
      <c r="AB44" s="1351" t="s">
        <v>1005</v>
      </c>
      <c r="AC44" s="1332">
        <f>IF(Saisies_Exploitation!J$247="Non",1,0)</f>
        <v>0</v>
      </c>
      <c r="AD44">
        <f>AG44*AC44*AA44</f>
        <v>0</v>
      </c>
      <c r="AE44" s="1332">
        <f>IF(Saisies_Exploitation!J$247="Oui",1,0)</f>
        <v>0</v>
      </c>
      <c r="AF44">
        <f>AH44*AE44*AA44</f>
        <v>0</v>
      </c>
      <c r="AG44" s="1374">
        <f>Paramètres!FB29</f>
        <v>1.73</v>
      </c>
      <c r="AH44" s="1374">
        <f>Paramètres!FC29</f>
        <v>1.55</v>
      </c>
      <c r="AJ44">
        <f>AK44*AA44</f>
        <v>0</v>
      </c>
      <c r="AK44" s="1374">
        <f>Paramètres!FD29</f>
        <v>2.74</v>
      </c>
      <c r="AM44">
        <f>AN44*AA44</f>
        <v>0</v>
      </c>
      <c r="AN44" s="1374">
        <f>Paramètres!FE29</f>
        <v>3.07</v>
      </c>
    </row>
    <row r="45" spans="17:41" x14ac:dyDescent="0.2">
      <c r="AA45"/>
      <c r="AB45" s="1365" t="s">
        <v>2002</v>
      </c>
      <c r="AC45"/>
      <c r="AD45">
        <f>AG45*AC43*AA43*$AH$27</f>
        <v>0</v>
      </c>
      <c r="AE45"/>
      <c r="AF45">
        <f>AH45*AE43*AA43*$AH$27</f>
        <v>0</v>
      </c>
      <c r="AG45" s="1381">
        <f>Paramètres!FB30</f>
        <v>1.4999999999999999E-2</v>
      </c>
      <c r="AH45" s="1381">
        <f>Paramètres!FC30</f>
        <v>1.4E-2</v>
      </c>
      <c r="AJ45">
        <f>AK45*AA43*$AH$27</f>
        <v>0</v>
      </c>
      <c r="AK45" s="1381">
        <f>Paramètres!FD30</f>
        <v>2.4E-2</v>
      </c>
      <c r="AM45">
        <f>AN45*AA43*$AH$27</f>
        <v>0</v>
      </c>
      <c r="AN45" s="1381">
        <f>Paramètres!FE30</f>
        <v>2.1999999999999999E-2</v>
      </c>
      <c r="AO45"/>
    </row>
    <row r="46" spans="17:41" x14ac:dyDescent="0.2">
      <c r="AC46"/>
      <c r="AD46"/>
      <c r="AE46"/>
      <c r="AF46"/>
      <c r="AG46"/>
      <c r="AH46"/>
    </row>
    <row r="47" spans="17:41" x14ac:dyDescent="0.2">
      <c r="AC47"/>
      <c r="AD47"/>
      <c r="AE47"/>
      <c r="AF47"/>
      <c r="AG47"/>
      <c r="AH47"/>
    </row>
    <row r="48" spans="17:41" x14ac:dyDescent="0.2">
      <c r="R48"/>
      <c r="S48"/>
      <c r="T48"/>
      <c r="U48"/>
      <c r="V48" s="41"/>
      <c r="AB48" s="47"/>
      <c r="AC48" s="47"/>
      <c r="AD48" s="1362" t="s">
        <v>1007</v>
      </c>
      <c r="AE48" s="1362"/>
      <c r="AF48" s="1362" t="s">
        <v>1006</v>
      </c>
      <c r="AG48" s="1362" t="s">
        <v>1007</v>
      </c>
      <c r="AH48" s="1362" t="s">
        <v>1006</v>
      </c>
    </row>
    <row r="49" spans="17:41" x14ac:dyDescent="0.2">
      <c r="Q49" s="1362"/>
      <c r="R49"/>
      <c r="S49"/>
      <c r="T49"/>
      <c r="U49"/>
      <c r="V49"/>
      <c r="AA49"/>
      <c r="AB49" s="1363" t="s">
        <v>1001</v>
      </c>
      <c r="AC49" s="1363"/>
      <c r="AD49" s="1362" t="s">
        <v>1008</v>
      </c>
      <c r="AE49" s="1362"/>
      <c r="AF49" s="1362" t="s">
        <v>1008</v>
      </c>
      <c r="AG49" s="1362" t="s">
        <v>1008</v>
      </c>
      <c r="AH49" s="1362" t="s">
        <v>1008</v>
      </c>
      <c r="AJ49" s="527" t="s">
        <v>187</v>
      </c>
      <c r="AM49" s="527" t="s">
        <v>665</v>
      </c>
    </row>
    <row r="50" spans="17:41" x14ac:dyDescent="0.2">
      <c r="Q50"/>
      <c r="R50"/>
      <c r="S50"/>
      <c r="T50"/>
      <c r="U50"/>
      <c r="V50"/>
      <c r="AA50"/>
      <c r="AB50" s="1364" t="s">
        <v>999</v>
      </c>
      <c r="AC50" s="1364"/>
      <c r="AD50"/>
      <c r="AE50"/>
      <c r="AF50"/>
      <c r="AG50"/>
      <c r="AH50"/>
    </row>
    <row r="51" spans="17:41" x14ac:dyDescent="0.2">
      <c r="Q51"/>
      <c r="AA51" s="1332">
        <f>IF(Saisies_Exploitation!G$244=AB50,1,0)</f>
        <v>0</v>
      </c>
      <c r="AB51" s="1351" t="s">
        <v>1002</v>
      </c>
      <c r="AC51"/>
      <c r="AD51">
        <f>AG51*AA51</f>
        <v>0</v>
      </c>
      <c r="AE51"/>
      <c r="AF51"/>
      <c r="AG51" s="1374">
        <f>Paramètres!FB37</f>
        <v>14.3</v>
      </c>
      <c r="AH51"/>
      <c r="AI51"/>
      <c r="AJ51">
        <f>AK51*AA51</f>
        <v>0</v>
      </c>
      <c r="AK51" s="1374">
        <f>Paramètres!FD37</f>
        <v>11</v>
      </c>
      <c r="AM51">
        <f>AN51*AA51</f>
        <v>0</v>
      </c>
      <c r="AN51" s="1374">
        <f>Paramètres!FE37</f>
        <v>9.3000000000000007</v>
      </c>
    </row>
    <row r="52" spans="17:41" x14ac:dyDescent="0.2">
      <c r="Q52"/>
      <c r="AA52" s="1332">
        <f>IF(Saisies_Exploitation!G$245=AB50,1,0)</f>
        <v>0</v>
      </c>
      <c r="AB52" s="1351" t="s">
        <v>1003</v>
      </c>
      <c r="AC52"/>
      <c r="AD52">
        <f>AG52*AA52</f>
        <v>0</v>
      </c>
      <c r="AE52"/>
      <c r="AF52"/>
      <c r="AG52" s="1374">
        <f>Paramètres!FB38</f>
        <v>0.39</v>
      </c>
      <c r="AH52"/>
      <c r="AI52"/>
      <c r="AJ52">
        <f>AK52*AA52</f>
        <v>0</v>
      </c>
      <c r="AK52" s="1374">
        <f>Paramètres!FD38</f>
        <v>0.23</v>
      </c>
      <c r="AM52">
        <f>AN52*AA52</f>
        <v>0</v>
      </c>
      <c r="AN52" s="1374">
        <f>Paramètres!FE38</f>
        <v>0.31</v>
      </c>
    </row>
    <row r="53" spans="17:41" x14ac:dyDescent="0.2">
      <c r="Q53"/>
      <c r="AA53" s="1332">
        <f>IF(Saisies_Exploitation!G$246=AB50,1,0)</f>
        <v>0</v>
      </c>
      <c r="AB53" s="1351" t="s">
        <v>1004</v>
      </c>
      <c r="AC53"/>
      <c r="AD53">
        <f>AG53*AA53</f>
        <v>0</v>
      </c>
      <c r="AE53"/>
      <c r="AF53"/>
      <c r="AG53" s="1374">
        <f>Paramètres!FB39</f>
        <v>2.6</v>
      </c>
      <c r="AH53"/>
      <c r="AI53"/>
      <c r="AJ53">
        <f>AK53*AA53</f>
        <v>0</v>
      </c>
      <c r="AK53" s="1374">
        <f>Paramètres!FD39</f>
        <v>1.45</v>
      </c>
      <c r="AM53">
        <f>AN53*AA53</f>
        <v>0</v>
      </c>
      <c r="AN53" s="1374">
        <f>Paramètres!FE39</f>
        <v>1.59</v>
      </c>
    </row>
    <row r="54" spans="17:41" x14ac:dyDescent="0.2">
      <c r="Q54"/>
      <c r="AA54" s="1332">
        <f>IF(Saisies_Exploitation!G$247=AB50,1,0)</f>
        <v>0</v>
      </c>
      <c r="AB54" s="1351" t="s">
        <v>1005</v>
      </c>
      <c r="AC54"/>
      <c r="AD54">
        <f>AG54*AA54</f>
        <v>0</v>
      </c>
      <c r="AE54"/>
      <c r="AF54"/>
      <c r="AG54" s="1374">
        <f>Paramètres!FB40</f>
        <v>3.47</v>
      </c>
      <c r="AH54"/>
      <c r="AI54"/>
      <c r="AJ54">
        <f>AK54*AA54</f>
        <v>0</v>
      </c>
      <c r="AK54" s="1374">
        <f>Paramètres!FD40</f>
        <v>1.65</v>
      </c>
      <c r="AM54">
        <f>AN54*AA54</f>
        <v>0</v>
      </c>
      <c r="AN54" s="1374">
        <f>Paramètres!FE40</f>
        <v>2.4900000000000002</v>
      </c>
    </row>
    <row r="55" spans="17:41" x14ac:dyDescent="0.2">
      <c r="Q55"/>
      <c r="AA55"/>
      <c r="AB55" s="1365" t="s">
        <v>2002</v>
      </c>
      <c r="AC55"/>
      <c r="AD55">
        <f>AG55*AA53*$AH$27</f>
        <v>0</v>
      </c>
      <c r="AE55"/>
      <c r="AF55"/>
      <c r="AG55" s="1381">
        <f>Paramètres!FB41</f>
        <v>0.03</v>
      </c>
      <c r="AH55"/>
      <c r="AI55"/>
      <c r="AJ55">
        <f>AK55*AA53*$AH$27</f>
        <v>0</v>
      </c>
      <c r="AK55" s="1381">
        <f>Paramètres!FD41</f>
        <v>1.7000000000000001E-2</v>
      </c>
      <c r="AM55">
        <f>AN55*AA53*$AH$27</f>
        <v>0</v>
      </c>
      <c r="AN55" s="1381">
        <f>Paramètres!FE41</f>
        <v>1.7999999999999999E-2</v>
      </c>
      <c r="AO55"/>
    </row>
    <row r="56" spans="17:41" x14ac:dyDescent="0.2">
      <c r="Q56"/>
      <c r="AA56"/>
      <c r="AB56"/>
      <c r="AC56"/>
      <c r="AD56"/>
      <c r="AE56"/>
      <c r="AF56"/>
      <c r="AG56" s="1372"/>
      <c r="AH56"/>
      <c r="AI56"/>
      <c r="AJ56"/>
      <c r="AM56"/>
    </row>
    <row r="57" spans="17:41" x14ac:dyDescent="0.2">
      <c r="Q57"/>
      <c r="AA57"/>
      <c r="AB57" s="1364" t="s">
        <v>1985</v>
      </c>
      <c r="AC57" s="1364"/>
      <c r="AD57"/>
      <c r="AE57"/>
      <c r="AF57"/>
      <c r="AG57"/>
      <c r="AH57"/>
    </row>
    <row r="58" spans="17:41" x14ac:dyDescent="0.2">
      <c r="Q58"/>
      <c r="AA58" s="1332">
        <f>IF(Saisies_Exploitation!G$246=AB57,1,0)</f>
        <v>0</v>
      </c>
      <c r="AB58" s="1596" t="s">
        <v>1004</v>
      </c>
      <c r="AC58" s="1332">
        <f>IF(Saisies_Exploitation!J$246="Non",1,0)</f>
        <v>0</v>
      </c>
      <c r="AD58">
        <f>AG58*AC58*AA58</f>
        <v>0</v>
      </c>
      <c r="AE58" s="1332">
        <f>IF(Saisies_Exploitation!J$246="Oui",1,0)</f>
        <v>0</v>
      </c>
      <c r="AF58">
        <f>AH58*AE58*AA58</f>
        <v>0</v>
      </c>
      <c r="AG58" s="1374">
        <f>Paramètres!FB44</f>
        <v>2.76</v>
      </c>
      <c r="AH58" s="1374">
        <f>Paramètres!FC44</f>
        <v>2.37</v>
      </c>
      <c r="AI58"/>
      <c r="AJ58">
        <f>AK58*AA58</f>
        <v>0</v>
      </c>
      <c r="AK58" s="1374">
        <f>Paramètres!FD44</f>
        <v>1.36</v>
      </c>
      <c r="AM58">
        <f>AN58*AA58</f>
        <v>0</v>
      </c>
      <c r="AN58" s="1374">
        <f>Paramètres!FE44</f>
        <v>1.53</v>
      </c>
    </row>
    <row r="59" spans="17:41" x14ac:dyDescent="0.2">
      <c r="AA59" s="1332">
        <f>IF(Saisies_Exploitation!G$247=AB57,1,0)</f>
        <v>0</v>
      </c>
      <c r="AB59" s="1596" t="s">
        <v>1005</v>
      </c>
      <c r="AC59" s="1332">
        <f>IF(Saisies_Exploitation!J$247="Non",1,0)</f>
        <v>0</v>
      </c>
      <c r="AD59">
        <f>AG59*AC59*AA59</f>
        <v>0</v>
      </c>
      <c r="AE59" s="1332">
        <f>IF(Saisies_Exploitation!J$247="Oui",1,0)</f>
        <v>0</v>
      </c>
      <c r="AF59">
        <f>AH59*AE59*AA59</f>
        <v>0</v>
      </c>
      <c r="AG59" s="1374">
        <f>Paramètres!FB45</f>
        <v>3.6835384615384612</v>
      </c>
      <c r="AH59" s="1374">
        <f>Paramètres!FC45</f>
        <v>3.1630384615384619</v>
      </c>
      <c r="AJ59">
        <f>AK59*AA59</f>
        <v>0</v>
      </c>
      <c r="AK59" s="1374">
        <f>Paramètres!FD45</f>
        <v>1.547586206896552</v>
      </c>
      <c r="AM59">
        <f>AN59*AA59</f>
        <v>0</v>
      </c>
      <c r="AN59" s="1374">
        <f>Paramètres!FE45</f>
        <v>2.3960377358490565</v>
      </c>
    </row>
    <row r="60" spans="17:41" x14ac:dyDescent="0.2">
      <c r="AA60"/>
      <c r="AB60" s="1365" t="s">
        <v>2002</v>
      </c>
      <c r="AC60"/>
      <c r="AD60">
        <f>AG60*AC58*AA58*$AH$27</f>
        <v>0</v>
      </c>
      <c r="AE60"/>
      <c r="AF60">
        <f>AH60*AE58*AA58*$AH$27</f>
        <v>0</v>
      </c>
      <c r="AG60" s="1381">
        <f>Paramètres!FB46</f>
        <v>3.2000000000000001E-2</v>
      </c>
      <c r="AH60" s="1381">
        <f>Paramètres!FC46</f>
        <v>2.7E-2</v>
      </c>
      <c r="AJ60">
        <f>AK60*AA58*$AH$27</f>
        <v>0</v>
      </c>
      <c r="AK60" s="1381">
        <f>Paramètres!FD46</f>
        <v>1.4999999999999999E-2</v>
      </c>
      <c r="AM60">
        <f>AN60*AA58*$AH$27</f>
        <v>0</v>
      </c>
      <c r="AN60" s="1381">
        <f>Paramètres!FE46</f>
        <v>1.7999999999999999E-2</v>
      </c>
      <c r="AO60"/>
    </row>
    <row r="61" spans="17:41" x14ac:dyDescent="0.2">
      <c r="AC61"/>
      <c r="AD61"/>
      <c r="AE61"/>
      <c r="AF61"/>
      <c r="AG61" s="1372"/>
      <c r="AH61"/>
      <c r="AI61"/>
      <c r="AJ61"/>
      <c r="AM61"/>
    </row>
    <row r="62" spans="17:41" x14ac:dyDescent="0.2">
      <c r="AA62"/>
      <c r="AB62" s="1364" t="s">
        <v>996</v>
      </c>
      <c r="AC62" s="1364"/>
      <c r="AD62"/>
      <c r="AE62"/>
      <c r="AF62"/>
      <c r="AG62" s="1372"/>
      <c r="AH62"/>
      <c r="AI62"/>
      <c r="AJ62"/>
      <c r="AM62"/>
    </row>
    <row r="63" spans="17:41" x14ac:dyDescent="0.2">
      <c r="AA63" s="1332">
        <f>IF(Saisies_Exploitation!G$244=AB62,1,0)</f>
        <v>0</v>
      </c>
      <c r="AB63" s="1351" t="s">
        <v>1002</v>
      </c>
      <c r="AC63" s="1332">
        <f>IF(Saisies_Exploitation!J$244="Non",1,0)</f>
        <v>0</v>
      </c>
      <c r="AD63">
        <f>AG63*AC63*AA63</f>
        <v>0</v>
      </c>
      <c r="AE63" s="1332">
        <f>IF(Saisies_Exploitation!J$244="Oui",1,0)</f>
        <v>0</v>
      </c>
      <c r="AF63">
        <f>AH63*AE63*AA63</f>
        <v>0</v>
      </c>
      <c r="AG63" s="1374">
        <f>Paramètres!FB50</f>
        <v>12.6</v>
      </c>
      <c r="AH63" s="1374">
        <f>Paramètres!FC50</f>
        <v>10.7</v>
      </c>
      <c r="AI63"/>
      <c r="AJ63">
        <f>AK63*AA63</f>
        <v>0</v>
      </c>
      <c r="AK63" s="1374">
        <f>Paramètres!FD50</f>
        <v>11.8</v>
      </c>
      <c r="AM63">
        <f>AN63*AA63</f>
        <v>0</v>
      </c>
      <c r="AN63" s="1374">
        <f>Paramètres!FE50</f>
        <v>15</v>
      </c>
    </row>
    <row r="64" spans="17:41" x14ac:dyDescent="0.2">
      <c r="AA64" s="1332">
        <f>IF(Saisies_Exploitation!G$245=AB62,1,0)</f>
        <v>0</v>
      </c>
      <c r="AB64" s="1351" t="s">
        <v>1003</v>
      </c>
      <c r="AC64" s="1332">
        <f>IF(Saisies_Exploitation!J$245="Non",1,0)</f>
        <v>0</v>
      </c>
      <c r="AD64">
        <f>AG64*AC64*AA64</f>
        <v>0</v>
      </c>
      <c r="AE64" s="1332">
        <f>IF(Saisies_Exploitation!J$245="Oui",1,0)</f>
        <v>0</v>
      </c>
      <c r="AF64">
        <f>AH64*AE64*AA64</f>
        <v>0</v>
      </c>
      <c r="AG64" s="1374">
        <f>Paramètres!FB51</f>
        <v>0.28999999999999998</v>
      </c>
      <c r="AH64" s="1374">
        <f>Paramètres!FC51</f>
        <v>0.2</v>
      </c>
      <c r="AI64"/>
      <c r="AJ64">
        <f>AK64*AA64</f>
        <v>0</v>
      </c>
      <c r="AK64" s="1374">
        <f>Paramètres!FD51</f>
        <v>0.24</v>
      </c>
      <c r="AM64">
        <f>AN64*AA64</f>
        <v>0</v>
      </c>
      <c r="AN64" s="1374">
        <f>Paramètres!FE51</f>
        <v>0.42</v>
      </c>
    </row>
    <row r="65" spans="27:41" x14ac:dyDescent="0.2">
      <c r="AA65" s="1332">
        <f>IF(Saisies_Exploitation!G$246=AB62,1,0)</f>
        <v>0</v>
      </c>
      <c r="AB65" s="1351" t="s">
        <v>1004</v>
      </c>
      <c r="AC65" s="1332">
        <f>IF(Saisies_Exploitation!J$246="Non",1,0)</f>
        <v>0</v>
      </c>
      <c r="AD65">
        <f>AG65*AC65*AA65</f>
        <v>0</v>
      </c>
      <c r="AE65" s="1332">
        <f>IF(Saisies_Exploitation!J$246="Oui",1,0)</f>
        <v>0</v>
      </c>
      <c r="AF65">
        <f>AH65*AE65*AA65</f>
        <v>0</v>
      </c>
      <c r="AG65" s="1374">
        <f>Paramètres!FB52</f>
        <v>1.88</v>
      </c>
      <c r="AH65" s="1374">
        <f>Paramètres!FC52</f>
        <v>1.33</v>
      </c>
      <c r="AI65"/>
      <c r="AJ65">
        <f>AK65*AA65</f>
        <v>0</v>
      </c>
      <c r="AK65" s="1374">
        <f>Paramètres!FD52</f>
        <v>1.56</v>
      </c>
      <c r="AM65">
        <f>AN65*AA65</f>
        <v>0</v>
      </c>
      <c r="AN65" s="1374">
        <f>Paramètres!FE52</f>
        <v>2.27</v>
      </c>
    </row>
    <row r="66" spans="27:41" x14ac:dyDescent="0.2">
      <c r="AA66" s="1332">
        <f>IF(Saisies_Exploitation!G$247=AB62,1,0)</f>
        <v>0</v>
      </c>
      <c r="AB66" s="1351" t="s">
        <v>1005</v>
      </c>
      <c r="AC66" s="1332">
        <f>IF(Saisies_Exploitation!J$247="Non",1,0)</f>
        <v>0</v>
      </c>
      <c r="AD66">
        <f>AG66*AC66*AA66</f>
        <v>0</v>
      </c>
      <c r="AE66" s="1332">
        <f>IF(Saisies_Exploitation!J$247="Oui",1,0)</f>
        <v>0</v>
      </c>
      <c r="AF66">
        <f>AH66*AE66*AA66</f>
        <v>0</v>
      </c>
      <c r="AG66" s="1374">
        <f>Paramètres!FB53</f>
        <v>2.4900000000000002</v>
      </c>
      <c r="AH66" s="1374">
        <f>Paramètres!FC53</f>
        <v>1.75</v>
      </c>
      <c r="AJ66">
        <f>AK66*AA66</f>
        <v>0</v>
      </c>
      <c r="AK66" s="1374">
        <f>Paramètres!FD53</f>
        <v>2.0499999999999998</v>
      </c>
      <c r="AM66">
        <f>AN66*AA66</f>
        <v>0</v>
      </c>
      <c r="AN66" s="1374">
        <f>Paramètres!FE53</f>
        <v>3.61</v>
      </c>
    </row>
    <row r="67" spans="27:41" x14ac:dyDescent="0.2">
      <c r="AA67"/>
      <c r="AB67" s="1365" t="s">
        <v>2002</v>
      </c>
      <c r="AC67"/>
      <c r="AD67">
        <f>AG67*AC65*AA65*$AH$27</f>
        <v>0</v>
      </c>
      <c r="AE67"/>
      <c r="AF67">
        <f>AH67*AE65*AA65*$AH$27</f>
        <v>0</v>
      </c>
      <c r="AG67" s="1381">
        <f>Paramètres!FB54</f>
        <v>2.1999999999999999E-2</v>
      </c>
      <c r="AH67" s="1381">
        <f>Paramètres!FC54</f>
        <v>1.4999999999999999E-2</v>
      </c>
      <c r="AJ67">
        <f>AK67*AA65*$AH$27</f>
        <v>0</v>
      </c>
      <c r="AK67" s="1381">
        <f>Paramètres!FD54</f>
        <v>1.7999999999999999E-2</v>
      </c>
      <c r="AM67">
        <f>AN67*AA65*$AH$27</f>
        <v>0</v>
      </c>
      <c r="AN67" s="1381">
        <f>Paramètres!FE54</f>
        <v>2.5999999999999999E-2</v>
      </c>
      <c r="AO67"/>
    </row>
    <row r="68" spans="27:41" x14ac:dyDescent="0.2">
      <c r="AC68"/>
      <c r="AD68"/>
      <c r="AE68"/>
      <c r="AF68"/>
      <c r="AG68" s="1373"/>
      <c r="AH68"/>
      <c r="AJ68"/>
      <c r="AM68"/>
    </row>
    <row r="69" spans="27:41" x14ac:dyDescent="0.2">
      <c r="AB69" s="1364" t="s">
        <v>997</v>
      </c>
      <c r="AC69"/>
      <c r="AD69"/>
      <c r="AE69"/>
      <c r="AF69"/>
      <c r="AG69" s="1373"/>
      <c r="AJ69"/>
      <c r="AM69"/>
    </row>
    <row r="70" spans="27:41" x14ac:dyDescent="0.2">
      <c r="AA70" s="1332">
        <f>IF(Saisies_Exploitation!G$244=AB69,1,0)</f>
        <v>0</v>
      </c>
      <c r="AB70" s="1351" t="s">
        <v>1002</v>
      </c>
      <c r="AC70" s="1332">
        <f>IF(Saisies_Exploitation!J$244="Non",1,0)</f>
        <v>0</v>
      </c>
      <c r="AD70">
        <f>AG70*AC70*AA70</f>
        <v>0</v>
      </c>
      <c r="AE70" s="1332">
        <f>IF(Saisies_Exploitation!J$244="Oui",1,0)</f>
        <v>0</v>
      </c>
      <c r="AF70">
        <f>AH70*AE70*AA70</f>
        <v>0</v>
      </c>
      <c r="AG70" s="1374">
        <f>Paramètres!FB57</f>
        <v>11.8</v>
      </c>
      <c r="AH70" s="1374">
        <f>Paramètres!FC57</f>
        <v>9.8000000000000007</v>
      </c>
      <c r="AI70"/>
      <c r="AJ70">
        <f>AK70*AA70</f>
        <v>0</v>
      </c>
      <c r="AK70" s="1374">
        <f>Paramètres!FD57</f>
        <v>10.967948717948717</v>
      </c>
      <c r="AM70">
        <f>AN70*AA70</f>
        <v>0</v>
      </c>
      <c r="AN70" s="1374">
        <f>Paramètres!FE57</f>
        <v>10.837004405286343</v>
      </c>
    </row>
    <row r="71" spans="27:41" x14ac:dyDescent="0.2">
      <c r="AA71" s="1332">
        <f>IF(Saisies_Exploitation!G$245=AB69,1,0)</f>
        <v>0</v>
      </c>
      <c r="AB71" s="1351" t="s">
        <v>1003</v>
      </c>
      <c r="AC71" s="1332">
        <f>IF(Saisies_Exploitation!J$245="Non",1,0)</f>
        <v>0</v>
      </c>
      <c r="AD71">
        <f>AG71*AC71*AA71</f>
        <v>0</v>
      </c>
      <c r="AE71" s="1332">
        <f>IF(Saisies_Exploitation!J$245="Oui",1,0)</f>
        <v>0</v>
      </c>
      <c r="AF71">
        <f>AH71*AE71*AA71</f>
        <v>0</v>
      </c>
      <c r="AG71" s="1374">
        <f>Paramètres!FB58</f>
        <v>0.17</v>
      </c>
      <c r="AH71" s="1374">
        <f>Paramètres!FC58</f>
        <v>0.15</v>
      </c>
      <c r="AI71"/>
      <c r="AJ71">
        <f>AK71*AA71</f>
        <v>0</v>
      </c>
      <c r="AK71" s="1374">
        <f>Paramètres!FD58</f>
        <v>0.23</v>
      </c>
      <c r="AM71">
        <f>AN71*AA71</f>
        <v>0</v>
      </c>
      <c r="AN71" s="1374">
        <f>Paramètres!FE58</f>
        <v>0.32</v>
      </c>
    </row>
    <row r="72" spans="27:41" x14ac:dyDescent="0.2">
      <c r="AA72" s="1332">
        <f>IF(Saisies_Exploitation!G$246=AB69,1,0)</f>
        <v>0</v>
      </c>
      <c r="AB72" s="1351" t="s">
        <v>1004</v>
      </c>
      <c r="AC72" s="1332">
        <f>IF(Saisies_Exploitation!J$246="Non",1,0)</f>
        <v>0</v>
      </c>
      <c r="AD72">
        <f>AG72*AC72*AA72</f>
        <v>0</v>
      </c>
      <c r="AE72" s="1332">
        <f>IF(Saisies_Exploitation!J$246="Oui",1,0)</f>
        <v>0</v>
      </c>
      <c r="AF72">
        <f>AH72*AE72*AA72</f>
        <v>0</v>
      </c>
      <c r="AG72" s="1374">
        <f>Paramètres!FB59</f>
        <v>1.1100000000000001</v>
      </c>
      <c r="AH72" s="1374">
        <f>Paramètres!FC59</f>
        <v>0.99</v>
      </c>
      <c r="AI72"/>
      <c r="AJ72">
        <f>AK72*AA72</f>
        <v>0</v>
      </c>
      <c r="AK72" s="1374">
        <f>Paramètres!FD59</f>
        <v>1.45</v>
      </c>
      <c r="AM72">
        <f>AN72*AA72</f>
        <v>0</v>
      </c>
      <c r="AN72" s="1374">
        <f>Paramètres!FE59</f>
        <v>1.64</v>
      </c>
    </row>
    <row r="73" spans="27:41" x14ac:dyDescent="0.2">
      <c r="AA73" s="1332">
        <f>IF(Saisies_Exploitation!G$247=AB69,1,0)</f>
        <v>0</v>
      </c>
      <c r="AB73" s="1351" t="s">
        <v>1005</v>
      </c>
      <c r="AC73" s="1332">
        <f>IF(Saisies_Exploitation!J$247="Non",1,0)</f>
        <v>0</v>
      </c>
      <c r="AD73">
        <f>AG73*AC73*AA73</f>
        <v>0</v>
      </c>
      <c r="AE73" s="1332">
        <f>IF(Saisies_Exploitation!J$247="Oui",1,0)</f>
        <v>0</v>
      </c>
      <c r="AF73">
        <f>AH73*AE73*AA73</f>
        <v>0</v>
      </c>
      <c r="AG73" s="1374">
        <f>Paramètres!FB60</f>
        <v>1.46</v>
      </c>
      <c r="AH73" s="1374">
        <f>Paramètres!FC60</f>
        <v>1.31</v>
      </c>
      <c r="AJ73">
        <f>AK73*AA73</f>
        <v>0</v>
      </c>
      <c r="AK73" s="1374">
        <f>Paramètres!FD60</f>
        <v>1.9</v>
      </c>
      <c r="AM73">
        <f>AN73*AA73</f>
        <v>0</v>
      </c>
      <c r="AN73" s="1374">
        <f>Paramètres!FE60</f>
        <v>2.52</v>
      </c>
    </row>
    <row r="74" spans="27:41" x14ac:dyDescent="0.2">
      <c r="AA74"/>
      <c r="AB74" s="1365" t="s">
        <v>2002</v>
      </c>
      <c r="AC74"/>
      <c r="AD74">
        <f>AG74*AC72*AA72*$AH$27</f>
        <v>0</v>
      </c>
      <c r="AE74"/>
      <c r="AF74">
        <f>AH74*AE72*AA72*$AH$27</f>
        <v>0</v>
      </c>
      <c r="AG74" s="1381">
        <f>Paramètres!FB61</f>
        <v>1.2999999999999999E-2</v>
      </c>
      <c r="AH74" s="1381">
        <f>Paramètres!FC61</f>
        <v>1.0999999999999999E-2</v>
      </c>
      <c r="AJ74">
        <f>AK74*AA72*$AH$27</f>
        <v>0</v>
      </c>
      <c r="AK74" s="1381">
        <f>Paramètres!FD61</f>
        <v>1.7000000000000001E-2</v>
      </c>
      <c r="AM74">
        <f>AN74*AA72*$AH$27</f>
        <v>0</v>
      </c>
      <c r="AN74" s="1381">
        <f>Paramètres!FE61</f>
        <v>1.9E-2</v>
      </c>
    </row>
    <row r="75" spans="27:41" x14ac:dyDescent="0.2">
      <c r="AD75"/>
      <c r="AE75"/>
      <c r="AF75"/>
      <c r="AH75"/>
    </row>
    <row r="76" spans="27:41" x14ac:dyDescent="0.2">
      <c r="AD76"/>
      <c r="AE76"/>
      <c r="AF76"/>
    </row>
    <row r="77" spans="27:41" x14ac:dyDescent="0.2">
      <c r="AD77"/>
      <c r="AE77"/>
      <c r="AF77"/>
    </row>
  </sheetData>
  <sheetProtection password="D187" sheet="1" objects="1" scenarios="1"/>
  <mergeCells count="9">
    <mergeCell ref="N22:P22"/>
    <mergeCell ref="Q22:S22"/>
    <mergeCell ref="T22:V22"/>
    <mergeCell ref="T3:V3"/>
    <mergeCell ref="T14:V14"/>
    <mergeCell ref="N3:P3"/>
    <mergeCell ref="Q3:S3"/>
    <mergeCell ref="N14:P14"/>
    <mergeCell ref="Q14:S14"/>
  </mergeCells>
  <phoneticPr fontId="14" type="noConversion"/>
  <pageMargins left="0.78740157499999996" right="0.78740157499999996" top="0.984251969" bottom="0.984251969" header="0.4921259845" footer="0.4921259845"/>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pageSetUpPr fitToPage="1"/>
  </sheetPr>
  <dimension ref="A1:W130"/>
  <sheetViews>
    <sheetView topLeftCell="L1" workbookViewId="0"/>
  </sheetViews>
  <sheetFormatPr baseColWidth="10" defaultColWidth="11.42578125" defaultRowHeight="12.75" x14ac:dyDescent="0.2"/>
  <cols>
    <col min="1" max="11" width="3.140625" style="32" hidden="1" customWidth="1"/>
    <col min="12" max="12" width="7.28515625" style="32" customWidth="1"/>
    <col min="13" max="13" width="39" style="32" bestFit="1"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16384" width="11.42578125" style="32"/>
  </cols>
  <sheetData>
    <row r="1" spans="13:22" x14ac:dyDescent="0.2">
      <c r="V1" s="33" t="s">
        <v>121</v>
      </c>
    </row>
    <row r="2" spans="13:22" ht="13.5" thickBot="1" x14ac:dyDescent="0.25"/>
    <row r="3" spans="13:22" ht="13.5" thickTop="1" x14ac:dyDescent="0.2">
      <c r="N3" s="3450" t="s">
        <v>450</v>
      </c>
      <c r="O3" s="3451"/>
      <c r="P3" s="3453"/>
      <c r="Q3" s="3452" t="s">
        <v>451</v>
      </c>
      <c r="R3" s="3451"/>
      <c r="S3" s="3453"/>
      <c r="T3" s="3452" t="s">
        <v>755</v>
      </c>
      <c r="U3" s="3451"/>
      <c r="V3" s="3454"/>
    </row>
    <row r="4" spans="13:22" x14ac:dyDescent="0.2">
      <c r="N4" s="110" t="s">
        <v>249</v>
      </c>
      <c r="O4" s="36" t="s">
        <v>247</v>
      </c>
      <c r="P4" s="36"/>
      <c r="Q4" s="35" t="s">
        <v>249</v>
      </c>
      <c r="R4" s="36" t="s">
        <v>247</v>
      </c>
      <c r="S4" s="37"/>
      <c r="T4" s="35" t="s">
        <v>249</v>
      </c>
      <c r="U4" s="36" t="s">
        <v>247</v>
      </c>
      <c r="V4" s="109"/>
    </row>
    <row r="5" spans="13:22" ht="13.5" thickBot="1" x14ac:dyDescent="0.25">
      <c r="N5" s="526" t="s">
        <v>248</v>
      </c>
      <c r="O5" s="463" t="s">
        <v>246</v>
      </c>
      <c r="P5" s="463" t="s">
        <v>244</v>
      </c>
      <c r="Q5" s="683" t="s">
        <v>248</v>
      </c>
      <c r="R5" s="463" t="s">
        <v>246</v>
      </c>
      <c r="S5" s="684" t="s">
        <v>244</v>
      </c>
      <c r="T5" s="683" t="s">
        <v>248</v>
      </c>
      <c r="U5" s="463" t="s">
        <v>246</v>
      </c>
      <c r="V5" s="685" t="s">
        <v>244</v>
      </c>
    </row>
    <row r="6" spans="13:22" ht="13.5" thickTop="1" x14ac:dyDescent="0.2">
      <c r="M6" s="675" t="s">
        <v>1283</v>
      </c>
      <c r="N6" s="730">
        <f t="shared" ref="N6:N61" si="0">N70*$L70</f>
        <v>0</v>
      </c>
      <c r="O6" s="69"/>
      <c r="P6" s="69">
        <f>N6</f>
        <v>0</v>
      </c>
      <c r="Q6" s="70">
        <f t="shared" ref="Q6:Q61" si="1">Q70*$L70</f>
        <v>0</v>
      </c>
      <c r="R6" s="69"/>
      <c r="S6" s="71">
        <f>Q6</f>
        <v>0</v>
      </c>
      <c r="T6" s="70">
        <f t="shared" ref="T6:T60" si="2">T70*$L70</f>
        <v>0</v>
      </c>
      <c r="U6" s="69"/>
      <c r="V6" s="731">
        <f>T6</f>
        <v>0</v>
      </c>
    </row>
    <row r="7" spans="13:22" x14ac:dyDescent="0.2">
      <c r="M7" s="676" t="s">
        <v>1284</v>
      </c>
      <c r="N7" s="730">
        <f t="shared" si="0"/>
        <v>0</v>
      </c>
      <c r="O7" s="69"/>
      <c r="P7" s="69">
        <f t="shared" ref="P7:P61" si="3">N7</f>
        <v>0</v>
      </c>
      <c r="Q7" s="70">
        <f t="shared" si="1"/>
        <v>0</v>
      </c>
      <c r="R7" s="69"/>
      <c r="S7" s="71">
        <f t="shared" ref="S7:S61" si="4">Q7</f>
        <v>0</v>
      </c>
      <c r="T7" s="70">
        <f t="shared" si="2"/>
        <v>0</v>
      </c>
      <c r="U7" s="69"/>
      <c r="V7" s="731">
        <f t="shared" ref="V7:V61" si="5">T7</f>
        <v>0</v>
      </c>
    </row>
    <row r="8" spans="13:22" x14ac:dyDescent="0.2">
      <c r="M8" s="676" t="s">
        <v>1988</v>
      </c>
      <c r="N8" s="730">
        <f t="shared" si="0"/>
        <v>0</v>
      </c>
      <c r="O8" s="69"/>
      <c r="P8" s="69">
        <f t="shared" si="3"/>
        <v>0</v>
      </c>
      <c r="Q8" s="70">
        <f t="shared" si="1"/>
        <v>0</v>
      </c>
      <c r="R8" s="69"/>
      <c r="S8" s="71">
        <f t="shared" si="4"/>
        <v>0</v>
      </c>
      <c r="T8" s="70">
        <f t="shared" si="2"/>
        <v>0</v>
      </c>
      <c r="U8" s="69"/>
      <c r="V8" s="731">
        <f t="shared" si="5"/>
        <v>0</v>
      </c>
    </row>
    <row r="9" spans="13:22" x14ac:dyDescent="0.2">
      <c r="M9" s="676" t="s">
        <v>1285</v>
      </c>
      <c r="N9" s="730">
        <f t="shared" si="0"/>
        <v>0</v>
      </c>
      <c r="O9" s="69"/>
      <c r="P9" s="69">
        <f t="shared" si="3"/>
        <v>0</v>
      </c>
      <c r="Q9" s="70">
        <f t="shared" si="1"/>
        <v>0</v>
      </c>
      <c r="R9" s="69"/>
      <c r="S9" s="71">
        <f t="shared" si="4"/>
        <v>0</v>
      </c>
      <c r="T9" s="70">
        <f t="shared" si="2"/>
        <v>0</v>
      </c>
      <c r="U9" s="69"/>
      <c r="V9" s="731">
        <f t="shared" si="5"/>
        <v>0</v>
      </c>
    </row>
    <row r="10" spans="13:22" x14ac:dyDescent="0.2">
      <c r="M10" s="676" t="s">
        <v>1286</v>
      </c>
      <c r="N10" s="730">
        <f t="shared" si="0"/>
        <v>0</v>
      </c>
      <c r="O10" s="69"/>
      <c r="P10" s="69">
        <f t="shared" si="3"/>
        <v>0</v>
      </c>
      <c r="Q10" s="70">
        <f t="shared" si="1"/>
        <v>0</v>
      </c>
      <c r="R10" s="69"/>
      <c r="S10" s="71">
        <f t="shared" si="4"/>
        <v>0</v>
      </c>
      <c r="T10" s="70">
        <f t="shared" si="2"/>
        <v>0</v>
      </c>
      <c r="U10" s="69"/>
      <c r="V10" s="731">
        <f t="shared" si="5"/>
        <v>0</v>
      </c>
    </row>
    <row r="11" spans="13:22" x14ac:dyDescent="0.2">
      <c r="M11" s="676" t="s">
        <v>1287</v>
      </c>
      <c r="N11" s="730">
        <f t="shared" si="0"/>
        <v>0</v>
      </c>
      <c r="O11" s="69"/>
      <c r="P11" s="69">
        <f t="shared" si="3"/>
        <v>0</v>
      </c>
      <c r="Q11" s="70">
        <f t="shared" si="1"/>
        <v>0</v>
      </c>
      <c r="R11" s="69"/>
      <c r="S11" s="71">
        <f t="shared" si="4"/>
        <v>0</v>
      </c>
      <c r="T11" s="70">
        <f t="shared" si="2"/>
        <v>0</v>
      </c>
      <c r="U11" s="69"/>
      <c r="V11" s="731">
        <f t="shared" si="5"/>
        <v>0</v>
      </c>
    </row>
    <row r="12" spans="13:22" x14ac:dyDescent="0.2">
      <c r="M12" s="676" t="s">
        <v>1288</v>
      </c>
      <c r="N12" s="730">
        <f t="shared" si="0"/>
        <v>0</v>
      </c>
      <c r="O12" s="69"/>
      <c r="P12" s="69">
        <f t="shared" si="3"/>
        <v>0</v>
      </c>
      <c r="Q12" s="70">
        <f t="shared" si="1"/>
        <v>0</v>
      </c>
      <c r="R12" s="69"/>
      <c r="S12" s="71">
        <f t="shared" si="4"/>
        <v>0</v>
      </c>
      <c r="T12" s="70">
        <f t="shared" si="2"/>
        <v>0</v>
      </c>
      <c r="U12" s="69"/>
      <c r="V12" s="731">
        <f t="shared" si="5"/>
        <v>0</v>
      </c>
    </row>
    <row r="13" spans="13:22" x14ac:dyDescent="0.2">
      <c r="M13" s="676" t="s">
        <v>518</v>
      </c>
      <c r="N13" s="730">
        <f t="shared" si="0"/>
        <v>0</v>
      </c>
      <c r="O13" s="69"/>
      <c r="P13" s="69">
        <f t="shared" si="3"/>
        <v>0</v>
      </c>
      <c r="Q13" s="70">
        <f t="shared" si="1"/>
        <v>0</v>
      </c>
      <c r="R13" s="69"/>
      <c r="S13" s="71">
        <f t="shared" si="4"/>
        <v>0</v>
      </c>
      <c r="T13" s="70">
        <f t="shared" si="2"/>
        <v>0</v>
      </c>
      <c r="U13" s="69"/>
      <c r="V13" s="731">
        <f t="shared" si="5"/>
        <v>0</v>
      </c>
    </row>
    <row r="14" spans="13:22" x14ac:dyDescent="0.2">
      <c r="M14" s="676" t="s">
        <v>989</v>
      </c>
      <c r="N14" s="730">
        <f t="shared" si="0"/>
        <v>0</v>
      </c>
      <c r="O14" s="69"/>
      <c r="P14" s="69">
        <f t="shared" si="3"/>
        <v>0</v>
      </c>
      <c r="Q14" s="70">
        <f t="shared" si="1"/>
        <v>0</v>
      </c>
      <c r="R14" s="69"/>
      <c r="S14" s="71">
        <f t="shared" si="4"/>
        <v>0</v>
      </c>
      <c r="T14" s="70">
        <f t="shared" si="2"/>
        <v>0</v>
      </c>
      <c r="U14" s="69"/>
      <c r="V14" s="731">
        <f t="shared" si="5"/>
        <v>0</v>
      </c>
    </row>
    <row r="15" spans="13:22" x14ac:dyDescent="0.2">
      <c r="M15" s="676" t="s">
        <v>1755</v>
      </c>
      <c r="N15" s="730">
        <f t="shared" si="0"/>
        <v>0</v>
      </c>
      <c r="O15" s="69"/>
      <c r="P15" s="69">
        <f t="shared" si="3"/>
        <v>0</v>
      </c>
      <c r="Q15" s="70">
        <f t="shared" si="1"/>
        <v>0</v>
      </c>
      <c r="R15" s="69"/>
      <c r="S15" s="71">
        <f t="shared" si="4"/>
        <v>0</v>
      </c>
      <c r="T15" s="70">
        <f t="shared" si="2"/>
        <v>0</v>
      </c>
      <c r="U15" s="69"/>
      <c r="V15" s="731">
        <f t="shared" si="5"/>
        <v>0</v>
      </c>
    </row>
    <row r="16" spans="13:22" x14ac:dyDescent="0.2">
      <c r="M16" s="676" t="s">
        <v>1753</v>
      </c>
      <c r="N16" s="730">
        <f t="shared" si="0"/>
        <v>0</v>
      </c>
      <c r="O16" s="69"/>
      <c r="P16" s="69">
        <f t="shared" si="3"/>
        <v>0</v>
      </c>
      <c r="Q16" s="70">
        <f t="shared" si="1"/>
        <v>0</v>
      </c>
      <c r="R16" s="69"/>
      <c r="S16" s="71">
        <f t="shared" si="4"/>
        <v>0</v>
      </c>
      <c r="T16" s="70">
        <f t="shared" si="2"/>
        <v>0</v>
      </c>
      <c r="U16" s="69"/>
      <c r="V16" s="731">
        <f t="shared" si="5"/>
        <v>0</v>
      </c>
    </row>
    <row r="17" spans="13:22" x14ac:dyDescent="0.2">
      <c r="M17" s="676" t="s">
        <v>1754</v>
      </c>
      <c r="N17" s="730">
        <f t="shared" si="0"/>
        <v>0</v>
      </c>
      <c r="O17" s="69"/>
      <c r="P17" s="69">
        <f t="shared" si="3"/>
        <v>0</v>
      </c>
      <c r="Q17" s="70">
        <f t="shared" si="1"/>
        <v>0</v>
      </c>
      <c r="R17" s="69"/>
      <c r="S17" s="71">
        <f t="shared" si="4"/>
        <v>0</v>
      </c>
      <c r="T17" s="70">
        <f t="shared" si="2"/>
        <v>0</v>
      </c>
      <c r="U17" s="69"/>
      <c r="V17" s="731">
        <f t="shared" si="5"/>
        <v>0</v>
      </c>
    </row>
    <row r="18" spans="13:22" x14ac:dyDescent="0.2">
      <c r="M18" s="676" t="s">
        <v>1756</v>
      </c>
      <c r="N18" s="730">
        <f t="shared" si="0"/>
        <v>0</v>
      </c>
      <c r="O18" s="69"/>
      <c r="P18" s="69">
        <f t="shared" si="3"/>
        <v>0</v>
      </c>
      <c r="Q18" s="70">
        <f t="shared" si="1"/>
        <v>0</v>
      </c>
      <c r="R18" s="69"/>
      <c r="S18" s="71">
        <f t="shared" si="4"/>
        <v>0</v>
      </c>
      <c r="T18" s="70">
        <f t="shared" si="2"/>
        <v>0</v>
      </c>
      <c r="U18" s="69"/>
      <c r="V18" s="731">
        <f t="shared" si="5"/>
        <v>0</v>
      </c>
    </row>
    <row r="19" spans="13:22" x14ac:dyDescent="0.2">
      <c r="M19" s="676" t="s">
        <v>1757</v>
      </c>
      <c r="N19" s="730">
        <f t="shared" si="0"/>
        <v>0</v>
      </c>
      <c r="O19" s="69"/>
      <c r="P19" s="69">
        <f t="shared" si="3"/>
        <v>0</v>
      </c>
      <c r="Q19" s="70">
        <f t="shared" si="1"/>
        <v>0</v>
      </c>
      <c r="R19" s="69"/>
      <c r="S19" s="71">
        <f t="shared" si="4"/>
        <v>0</v>
      </c>
      <c r="T19" s="70">
        <f t="shared" si="2"/>
        <v>0</v>
      </c>
      <c r="U19" s="69"/>
      <c r="V19" s="731">
        <f t="shared" si="5"/>
        <v>0</v>
      </c>
    </row>
    <row r="20" spans="13:22" x14ac:dyDescent="0.2">
      <c r="M20" s="676" t="s">
        <v>1758</v>
      </c>
      <c r="N20" s="730">
        <f t="shared" si="0"/>
        <v>0</v>
      </c>
      <c r="O20" s="69"/>
      <c r="P20" s="69">
        <f t="shared" si="3"/>
        <v>0</v>
      </c>
      <c r="Q20" s="70">
        <f t="shared" si="1"/>
        <v>0</v>
      </c>
      <c r="R20" s="69"/>
      <c r="S20" s="71">
        <f t="shared" si="4"/>
        <v>0</v>
      </c>
      <c r="T20" s="70">
        <f t="shared" si="2"/>
        <v>0</v>
      </c>
      <c r="U20" s="69"/>
      <c r="V20" s="731">
        <f t="shared" si="5"/>
        <v>0</v>
      </c>
    </row>
    <row r="21" spans="13:22" x14ac:dyDescent="0.2">
      <c r="M21" s="676" t="s">
        <v>1759</v>
      </c>
      <c r="N21" s="730">
        <f t="shared" si="0"/>
        <v>0</v>
      </c>
      <c r="O21" s="69"/>
      <c r="P21" s="69">
        <f t="shared" si="3"/>
        <v>0</v>
      </c>
      <c r="Q21" s="70">
        <f t="shared" si="1"/>
        <v>0</v>
      </c>
      <c r="R21" s="69"/>
      <c r="S21" s="71">
        <f t="shared" si="4"/>
        <v>0</v>
      </c>
      <c r="T21" s="70">
        <f t="shared" si="2"/>
        <v>0</v>
      </c>
      <c r="U21" s="69"/>
      <c r="V21" s="731">
        <f t="shared" si="5"/>
        <v>0</v>
      </c>
    </row>
    <row r="22" spans="13:22" x14ac:dyDescent="0.2">
      <c r="M22" s="676" t="s">
        <v>1991</v>
      </c>
      <c r="N22" s="730">
        <f t="shared" si="0"/>
        <v>0</v>
      </c>
      <c r="O22" s="69"/>
      <c r="P22" s="69">
        <f t="shared" si="3"/>
        <v>0</v>
      </c>
      <c r="Q22" s="70">
        <f t="shared" si="1"/>
        <v>0</v>
      </c>
      <c r="R22" s="69"/>
      <c r="S22" s="71">
        <f t="shared" si="4"/>
        <v>0</v>
      </c>
      <c r="T22" s="70">
        <f t="shared" si="2"/>
        <v>0</v>
      </c>
      <c r="U22" s="69"/>
      <c r="V22" s="731">
        <f t="shared" si="5"/>
        <v>0</v>
      </c>
    </row>
    <row r="23" spans="13:22" x14ac:dyDescent="0.2">
      <c r="M23" s="676"/>
      <c r="N23" s="730"/>
      <c r="O23" s="69"/>
      <c r="P23" s="69"/>
      <c r="Q23" s="70"/>
      <c r="R23" s="69"/>
      <c r="S23" s="71"/>
      <c r="T23" s="70"/>
      <c r="U23" s="69"/>
      <c r="V23" s="731"/>
    </row>
    <row r="24" spans="13:22" x14ac:dyDescent="0.2">
      <c r="M24" s="676" t="s">
        <v>1291</v>
      </c>
      <c r="N24" s="730">
        <f t="shared" si="0"/>
        <v>0</v>
      </c>
      <c r="O24" s="69"/>
      <c r="P24" s="69">
        <f t="shared" si="3"/>
        <v>0</v>
      </c>
      <c r="Q24" s="70">
        <f t="shared" si="1"/>
        <v>0</v>
      </c>
      <c r="R24" s="69"/>
      <c r="S24" s="71">
        <f t="shared" si="4"/>
        <v>0</v>
      </c>
      <c r="T24" s="70">
        <f t="shared" si="2"/>
        <v>0</v>
      </c>
      <c r="U24" s="69"/>
      <c r="V24" s="731">
        <f t="shared" si="5"/>
        <v>0</v>
      </c>
    </row>
    <row r="25" spans="13:22" x14ac:dyDescent="0.2">
      <c r="M25" s="676" t="s">
        <v>1496</v>
      </c>
      <c r="N25" s="730">
        <f t="shared" si="0"/>
        <v>0</v>
      </c>
      <c r="O25" s="69"/>
      <c r="P25" s="69">
        <f t="shared" si="3"/>
        <v>0</v>
      </c>
      <c r="Q25" s="70">
        <f t="shared" si="1"/>
        <v>0</v>
      </c>
      <c r="R25" s="69"/>
      <c r="S25" s="71">
        <f t="shared" si="4"/>
        <v>0</v>
      </c>
      <c r="T25" s="70">
        <f t="shared" si="2"/>
        <v>0</v>
      </c>
      <c r="U25" s="69"/>
      <c r="V25" s="731">
        <f t="shared" si="5"/>
        <v>0</v>
      </c>
    </row>
    <row r="26" spans="13:22" x14ac:dyDescent="0.2">
      <c r="M26" s="676" t="s">
        <v>1497</v>
      </c>
      <c r="N26" s="730">
        <f t="shared" si="0"/>
        <v>0</v>
      </c>
      <c r="O26" s="69"/>
      <c r="P26" s="69">
        <f t="shared" si="3"/>
        <v>0</v>
      </c>
      <c r="Q26" s="70">
        <f t="shared" si="1"/>
        <v>0</v>
      </c>
      <c r="R26" s="69"/>
      <c r="S26" s="71">
        <f t="shared" si="4"/>
        <v>0</v>
      </c>
      <c r="T26" s="70">
        <f t="shared" si="2"/>
        <v>0</v>
      </c>
      <c r="U26" s="69"/>
      <c r="V26" s="731">
        <f t="shared" si="5"/>
        <v>0</v>
      </c>
    </row>
    <row r="27" spans="13:22" x14ac:dyDescent="0.2">
      <c r="M27" s="676" t="s">
        <v>530</v>
      </c>
      <c r="N27" s="730">
        <f t="shared" si="0"/>
        <v>0</v>
      </c>
      <c r="O27" s="69"/>
      <c r="P27" s="69">
        <f t="shared" si="3"/>
        <v>0</v>
      </c>
      <c r="Q27" s="70">
        <f t="shared" si="1"/>
        <v>0</v>
      </c>
      <c r="R27" s="69"/>
      <c r="S27" s="71">
        <f t="shared" si="4"/>
        <v>0</v>
      </c>
      <c r="T27" s="70">
        <f t="shared" si="2"/>
        <v>0</v>
      </c>
      <c r="U27" s="69"/>
      <c r="V27" s="731">
        <f t="shared" si="5"/>
        <v>0</v>
      </c>
    </row>
    <row r="28" spans="13:22" x14ac:dyDescent="0.2">
      <c r="M28" s="676" t="s">
        <v>531</v>
      </c>
      <c r="N28" s="730">
        <f t="shared" si="0"/>
        <v>0</v>
      </c>
      <c r="O28" s="69"/>
      <c r="P28" s="69">
        <f t="shared" si="3"/>
        <v>0</v>
      </c>
      <c r="Q28" s="70">
        <f t="shared" si="1"/>
        <v>0</v>
      </c>
      <c r="R28" s="69"/>
      <c r="S28" s="71">
        <f t="shared" si="4"/>
        <v>0</v>
      </c>
      <c r="T28" s="70">
        <f t="shared" si="2"/>
        <v>0</v>
      </c>
      <c r="U28" s="69"/>
      <c r="V28" s="731">
        <f t="shared" si="5"/>
        <v>0</v>
      </c>
    </row>
    <row r="29" spans="13:22" x14ac:dyDescent="0.2">
      <c r="M29" s="676" t="s">
        <v>532</v>
      </c>
      <c r="N29" s="730">
        <f t="shared" si="0"/>
        <v>0</v>
      </c>
      <c r="O29" s="69"/>
      <c r="P29" s="69">
        <f t="shared" si="3"/>
        <v>0</v>
      </c>
      <c r="Q29" s="70">
        <f t="shared" si="1"/>
        <v>0</v>
      </c>
      <c r="R29" s="69"/>
      <c r="S29" s="71">
        <f t="shared" si="4"/>
        <v>0</v>
      </c>
      <c r="T29" s="70">
        <f t="shared" si="2"/>
        <v>0</v>
      </c>
      <c r="U29" s="69"/>
      <c r="V29" s="731">
        <f t="shared" si="5"/>
        <v>0</v>
      </c>
    </row>
    <row r="30" spans="13:22" x14ac:dyDescent="0.2">
      <c r="M30" s="676"/>
      <c r="N30" s="730"/>
      <c r="O30" s="69"/>
      <c r="P30" s="69"/>
      <c r="Q30" s="70"/>
      <c r="R30" s="69"/>
      <c r="S30" s="71"/>
      <c r="T30" s="70"/>
      <c r="U30" s="69"/>
      <c r="V30" s="731"/>
    </row>
    <row r="31" spans="13:22" x14ac:dyDescent="0.2">
      <c r="M31" s="676" t="s">
        <v>2003</v>
      </c>
      <c r="N31" s="730">
        <f t="shared" si="0"/>
        <v>0</v>
      </c>
      <c r="O31" s="69"/>
      <c r="P31" s="69">
        <f t="shared" si="3"/>
        <v>0</v>
      </c>
      <c r="Q31" s="70">
        <f t="shared" si="1"/>
        <v>0</v>
      </c>
      <c r="R31" s="69"/>
      <c r="S31" s="71">
        <f t="shared" si="4"/>
        <v>0</v>
      </c>
      <c r="T31" s="70">
        <f t="shared" si="2"/>
        <v>0</v>
      </c>
      <c r="U31" s="69"/>
      <c r="V31" s="731">
        <f t="shared" si="5"/>
        <v>0</v>
      </c>
    </row>
    <row r="32" spans="13:22" x14ac:dyDescent="0.2">
      <c r="M32" s="676" t="s">
        <v>2004</v>
      </c>
      <c r="N32" s="730">
        <f t="shared" si="0"/>
        <v>0</v>
      </c>
      <c r="O32" s="69"/>
      <c r="P32" s="69">
        <f t="shared" si="3"/>
        <v>0</v>
      </c>
      <c r="Q32" s="70">
        <f t="shared" si="1"/>
        <v>0</v>
      </c>
      <c r="R32" s="69"/>
      <c r="S32" s="71">
        <f t="shared" si="4"/>
        <v>0</v>
      </c>
      <c r="T32" s="70">
        <f t="shared" si="2"/>
        <v>0</v>
      </c>
      <c r="U32" s="69"/>
      <c r="V32" s="731">
        <f t="shared" si="5"/>
        <v>0</v>
      </c>
    </row>
    <row r="33" spans="13:22" x14ac:dyDescent="0.2">
      <c r="M33" s="676" t="s">
        <v>2005</v>
      </c>
      <c r="N33" s="730">
        <f t="shared" si="0"/>
        <v>0</v>
      </c>
      <c r="O33" s="69"/>
      <c r="P33" s="69">
        <f t="shared" si="3"/>
        <v>0</v>
      </c>
      <c r="Q33" s="70">
        <f t="shared" si="1"/>
        <v>0</v>
      </c>
      <c r="R33" s="69"/>
      <c r="S33" s="71">
        <f t="shared" si="4"/>
        <v>0</v>
      </c>
      <c r="T33" s="70">
        <f t="shared" si="2"/>
        <v>0</v>
      </c>
      <c r="U33" s="69"/>
      <c r="V33" s="731">
        <f t="shared" si="5"/>
        <v>0</v>
      </c>
    </row>
    <row r="34" spans="13:22" x14ac:dyDescent="0.2">
      <c r="M34" s="676" t="s">
        <v>2006</v>
      </c>
      <c r="N34" s="730">
        <f t="shared" si="0"/>
        <v>0</v>
      </c>
      <c r="O34" s="69"/>
      <c r="P34" s="69">
        <f t="shared" si="3"/>
        <v>0</v>
      </c>
      <c r="Q34" s="70">
        <f t="shared" si="1"/>
        <v>0</v>
      </c>
      <c r="R34" s="69"/>
      <c r="S34" s="71">
        <f t="shared" si="4"/>
        <v>0</v>
      </c>
      <c r="T34" s="70">
        <f t="shared" si="2"/>
        <v>0</v>
      </c>
      <c r="U34" s="69"/>
      <c r="V34" s="731">
        <f t="shared" si="5"/>
        <v>0</v>
      </c>
    </row>
    <row r="35" spans="13:22" x14ac:dyDescent="0.2">
      <c r="M35" s="676" t="s">
        <v>2007</v>
      </c>
      <c r="N35" s="730">
        <f t="shared" si="0"/>
        <v>0</v>
      </c>
      <c r="O35" s="69"/>
      <c r="P35" s="69">
        <f t="shared" si="3"/>
        <v>0</v>
      </c>
      <c r="Q35" s="70">
        <f t="shared" si="1"/>
        <v>0</v>
      </c>
      <c r="R35" s="69"/>
      <c r="S35" s="71">
        <f t="shared" si="4"/>
        <v>0</v>
      </c>
      <c r="T35" s="70">
        <f t="shared" si="2"/>
        <v>0</v>
      </c>
      <c r="U35" s="69"/>
      <c r="V35" s="731">
        <f t="shared" si="5"/>
        <v>0</v>
      </c>
    </row>
    <row r="36" spans="13:22" x14ac:dyDescent="0.2">
      <c r="M36" s="676" t="s">
        <v>2008</v>
      </c>
      <c r="N36" s="730">
        <f t="shared" si="0"/>
        <v>0</v>
      </c>
      <c r="O36" s="69"/>
      <c r="P36" s="69">
        <f t="shared" si="3"/>
        <v>0</v>
      </c>
      <c r="Q36" s="70">
        <f t="shared" si="1"/>
        <v>0</v>
      </c>
      <c r="R36" s="69"/>
      <c r="S36" s="71">
        <f t="shared" si="4"/>
        <v>0</v>
      </c>
      <c r="T36" s="70">
        <f t="shared" si="2"/>
        <v>0</v>
      </c>
      <c r="U36" s="69"/>
      <c r="V36" s="731">
        <f t="shared" si="5"/>
        <v>0</v>
      </c>
    </row>
    <row r="37" spans="13:22" x14ac:dyDescent="0.2">
      <c r="M37" s="676" t="s">
        <v>2016</v>
      </c>
      <c r="N37" s="730">
        <f t="shared" si="0"/>
        <v>0</v>
      </c>
      <c r="O37" s="69"/>
      <c r="P37" s="69">
        <f t="shared" si="3"/>
        <v>0</v>
      </c>
      <c r="Q37" s="70">
        <f t="shared" si="1"/>
        <v>0</v>
      </c>
      <c r="R37" s="69"/>
      <c r="S37" s="71">
        <f t="shared" si="4"/>
        <v>0</v>
      </c>
      <c r="T37" s="70">
        <f t="shared" si="2"/>
        <v>0</v>
      </c>
      <c r="U37" s="69"/>
      <c r="V37" s="731">
        <f t="shared" si="5"/>
        <v>0</v>
      </c>
    </row>
    <row r="38" spans="13:22" x14ac:dyDescent="0.2">
      <c r="M38" s="676" t="s">
        <v>2015</v>
      </c>
      <c r="N38" s="730">
        <f t="shared" si="0"/>
        <v>0</v>
      </c>
      <c r="O38" s="69"/>
      <c r="P38" s="69">
        <f t="shared" si="3"/>
        <v>0</v>
      </c>
      <c r="Q38" s="70">
        <f t="shared" si="1"/>
        <v>0</v>
      </c>
      <c r="R38" s="69"/>
      <c r="S38" s="71">
        <f t="shared" si="4"/>
        <v>0</v>
      </c>
      <c r="T38" s="70">
        <f t="shared" si="2"/>
        <v>0</v>
      </c>
      <c r="U38" s="69"/>
      <c r="V38" s="731">
        <f t="shared" si="5"/>
        <v>0</v>
      </c>
    </row>
    <row r="39" spans="13:22" x14ac:dyDescent="0.2">
      <c r="M39" s="676" t="s">
        <v>2013</v>
      </c>
      <c r="N39" s="730">
        <f t="shared" si="0"/>
        <v>0</v>
      </c>
      <c r="O39" s="69"/>
      <c r="P39" s="69">
        <f t="shared" si="3"/>
        <v>0</v>
      </c>
      <c r="Q39" s="70">
        <f t="shared" si="1"/>
        <v>0</v>
      </c>
      <c r="R39" s="69"/>
      <c r="S39" s="71">
        <f t="shared" si="4"/>
        <v>0</v>
      </c>
      <c r="T39" s="70">
        <f t="shared" si="2"/>
        <v>0</v>
      </c>
      <c r="U39" s="69"/>
      <c r="V39" s="731">
        <f t="shared" si="5"/>
        <v>0</v>
      </c>
    </row>
    <row r="40" spans="13:22" x14ac:dyDescent="0.2">
      <c r="M40" s="676" t="s">
        <v>2014</v>
      </c>
      <c r="N40" s="730">
        <f t="shared" si="0"/>
        <v>0</v>
      </c>
      <c r="O40" s="69"/>
      <c r="P40" s="69">
        <f t="shared" si="3"/>
        <v>0</v>
      </c>
      <c r="Q40" s="70">
        <f t="shared" si="1"/>
        <v>0</v>
      </c>
      <c r="R40" s="69"/>
      <c r="S40" s="71">
        <f t="shared" si="4"/>
        <v>0</v>
      </c>
      <c r="T40" s="70">
        <f t="shared" si="2"/>
        <v>0</v>
      </c>
      <c r="U40" s="69"/>
      <c r="V40" s="731">
        <f t="shared" si="5"/>
        <v>0</v>
      </c>
    </row>
    <row r="41" spans="13:22" x14ac:dyDescent="0.2">
      <c r="M41" s="676" t="s">
        <v>2009</v>
      </c>
      <c r="N41" s="730">
        <f t="shared" si="0"/>
        <v>0</v>
      </c>
      <c r="O41" s="69"/>
      <c r="P41" s="69">
        <f t="shared" si="3"/>
        <v>0</v>
      </c>
      <c r="Q41" s="70">
        <f t="shared" si="1"/>
        <v>0</v>
      </c>
      <c r="R41" s="69"/>
      <c r="S41" s="71">
        <f t="shared" si="4"/>
        <v>0</v>
      </c>
      <c r="T41" s="70">
        <f t="shared" si="2"/>
        <v>0</v>
      </c>
      <c r="U41" s="69"/>
      <c r="V41" s="731">
        <f t="shared" si="5"/>
        <v>0</v>
      </c>
    </row>
    <row r="42" spans="13:22" x14ac:dyDescent="0.2">
      <c r="M42" s="676" t="s">
        <v>2010</v>
      </c>
      <c r="N42" s="730">
        <f t="shared" si="0"/>
        <v>0</v>
      </c>
      <c r="O42" s="69"/>
      <c r="P42" s="69">
        <f t="shared" si="3"/>
        <v>0</v>
      </c>
      <c r="Q42" s="70">
        <f t="shared" si="1"/>
        <v>0</v>
      </c>
      <c r="R42" s="69"/>
      <c r="S42" s="71">
        <f t="shared" si="4"/>
        <v>0</v>
      </c>
      <c r="T42" s="70">
        <f t="shared" si="2"/>
        <v>0</v>
      </c>
      <c r="U42" s="69"/>
      <c r="V42" s="731">
        <f t="shared" si="5"/>
        <v>0</v>
      </c>
    </row>
    <row r="43" spans="13:22" x14ac:dyDescent="0.2">
      <c r="M43" s="676" t="s">
        <v>2012</v>
      </c>
      <c r="N43" s="730">
        <f t="shared" si="0"/>
        <v>0</v>
      </c>
      <c r="O43" s="69"/>
      <c r="P43" s="69">
        <f t="shared" si="3"/>
        <v>0</v>
      </c>
      <c r="Q43" s="70">
        <f t="shared" si="1"/>
        <v>0</v>
      </c>
      <c r="R43" s="69"/>
      <c r="S43" s="71">
        <f t="shared" si="4"/>
        <v>0</v>
      </c>
      <c r="T43" s="70">
        <f t="shared" si="2"/>
        <v>0</v>
      </c>
      <c r="U43" s="69"/>
      <c r="V43" s="731">
        <f t="shared" si="5"/>
        <v>0</v>
      </c>
    </row>
    <row r="44" spans="13:22" x14ac:dyDescent="0.2">
      <c r="M44" s="676" t="s">
        <v>2011</v>
      </c>
      <c r="N44" s="730">
        <f t="shared" si="0"/>
        <v>0</v>
      </c>
      <c r="O44" s="69"/>
      <c r="P44" s="69">
        <f t="shared" si="3"/>
        <v>0</v>
      </c>
      <c r="Q44" s="70">
        <f t="shared" si="1"/>
        <v>0</v>
      </c>
      <c r="R44" s="69"/>
      <c r="S44" s="71">
        <f t="shared" si="4"/>
        <v>0</v>
      </c>
      <c r="T44" s="70">
        <f t="shared" si="2"/>
        <v>0</v>
      </c>
      <c r="U44" s="69"/>
      <c r="V44" s="731">
        <f t="shared" si="5"/>
        <v>0</v>
      </c>
    </row>
    <row r="45" spans="13:22" x14ac:dyDescent="0.2">
      <c r="M45" s="676"/>
      <c r="N45" s="730"/>
      <c r="O45" s="69"/>
      <c r="P45" s="69"/>
      <c r="Q45" s="70"/>
      <c r="R45" s="69"/>
      <c r="S45" s="71"/>
      <c r="T45" s="70"/>
      <c r="U45" s="69"/>
      <c r="V45" s="731"/>
    </row>
    <row r="46" spans="13:22" x14ac:dyDescent="0.2">
      <c r="M46" s="676" t="s">
        <v>522</v>
      </c>
      <c r="N46" s="730">
        <f t="shared" si="0"/>
        <v>0</v>
      </c>
      <c r="O46" s="69"/>
      <c r="P46" s="69">
        <f t="shared" si="3"/>
        <v>0</v>
      </c>
      <c r="Q46" s="70">
        <f t="shared" si="1"/>
        <v>0</v>
      </c>
      <c r="R46" s="69"/>
      <c r="S46" s="71">
        <f t="shared" si="4"/>
        <v>0</v>
      </c>
      <c r="T46" s="70">
        <f t="shared" si="2"/>
        <v>0</v>
      </c>
      <c r="U46" s="69"/>
      <c r="V46" s="731">
        <f t="shared" si="5"/>
        <v>0</v>
      </c>
    </row>
    <row r="47" spans="13:22" x14ac:dyDescent="0.2">
      <c r="M47" s="676" t="s">
        <v>523</v>
      </c>
      <c r="N47" s="730">
        <f t="shared" si="0"/>
        <v>0</v>
      </c>
      <c r="O47" s="69"/>
      <c r="P47" s="69">
        <f t="shared" si="3"/>
        <v>0</v>
      </c>
      <c r="Q47" s="70">
        <f t="shared" si="1"/>
        <v>0</v>
      </c>
      <c r="R47" s="69"/>
      <c r="S47" s="71">
        <f t="shared" si="4"/>
        <v>0</v>
      </c>
      <c r="T47" s="70">
        <f t="shared" si="2"/>
        <v>0</v>
      </c>
      <c r="U47" s="69"/>
      <c r="V47" s="731">
        <f t="shared" si="5"/>
        <v>0</v>
      </c>
    </row>
    <row r="48" spans="13:22" x14ac:dyDescent="0.2">
      <c r="M48" s="1579" t="s">
        <v>1495</v>
      </c>
      <c r="N48" s="730">
        <f t="shared" si="0"/>
        <v>0</v>
      </c>
      <c r="O48" s="69"/>
      <c r="P48" s="69">
        <f t="shared" si="3"/>
        <v>0</v>
      </c>
      <c r="Q48" s="70">
        <f t="shared" si="1"/>
        <v>0</v>
      </c>
      <c r="R48" s="69"/>
      <c r="S48" s="71">
        <f t="shared" si="4"/>
        <v>0</v>
      </c>
      <c r="T48" s="70">
        <f t="shared" si="2"/>
        <v>0</v>
      </c>
      <c r="U48" s="69"/>
      <c r="V48" s="731">
        <f t="shared" si="5"/>
        <v>0</v>
      </c>
    </row>
    <row r="49" spans="13:22" x14ac:dyDescent="0.2">
      <c r="M49" s="1579" t="s">
        <v>1493</v>
      </c>
      <c r="N49" s="730">
        <f t="shared" si="0"/>
        <v>0</v>
      </c>
      <c r="O49" s="69"/>
      <c r="P49" s="69">
        <f t="shared" si="3"/>
        <v>0</v>
      </c>
      <c r="Q49" s="70">
        <f t="shared" si="1"/>
        <v>0</v>
      </c>
      <c r="R49" s="69"/>
      <c r="S49" s="71">
        <f t="shared" si="4"/>
        <v>0</v>
      </c>
      <c r="T49" s="70">
        <f t="shared" si="2"/>
        <v>0</v>
      </c>
      <c r="U49" s="69"/>
      <c r="V49" s="731">
        <f t="shared" si="5"/>
        <v>0</v>
      </c>
    </row>
    <row r="50" spans="13:22" x14ac:dyDescent="0.2">
      <c r="M50" s="676" t="s">
        <v>1993</v>
      </c>
      <c r="N50" s="730">
        <f t="shared" si="0"/>
        <v>0</v>
      </c>
      <c r="O50" s="69"/>
      <c r="P50" s="69">
        <f t="shared" si="3"/>
        <v>0</v>
      </c>
      <c r="Q50" s="70">
        <f t="shared" si="1"/>
        <v>0</v>
      </c>
      <c r="R50" s="69"/>
      <c r="S50" s="71">
        <f t="shared" si="4"/>
        <v>0</v>
      </c>
      <c r="T50" s="70">
        <f t="shared" si="2"/>
        <v>0</v>
      </c>
      <c r="U50" s="69"/>
      <c r="V50" s="731">
        <f t="shared" si="5"/>
        <v>0</v>
      </c>
    </row>
    <row r="51" spans="13:22" x14ac:dyDescent="0.2">
      <c r="M51" s="676" t="s">
        <v>1470</v>
      </c>
      <c r="N51" s="730">
        <f t="shared" si="0"/>
        <v>0</v>
      </c>
      <c r="O51" s="69"/>
      <c r="P51" s="69">
        <f t="shared" si="3"/>
        <v>0</v>
      </c>
      <c r="Q51" s="70">
        <f t="shared" si="1"/>
        <v>0</v>
      </c>
      <c r="R51" s="69"/>
      <c r="S51" s="71">
        <f t="shared" si="4"/>
        <v>0</v>
      </c>
      <c r="T51" s="70">
        <f t="shared" si="2"/>
        <v>0</v>
      </c>
      <c r="U51" s="69"/>
      <c r="V51" s="731">
        <f t="shared" si="5"/>
        <v>0</v>
      </c>
    </row>
    <row r="52" spans="13:22" x14ac:dyDescent="0.2">
      <c r="M52" s="676" t="s">
        <v>1494</v>
      </c>
      <c r="N52" s="730">
        <f t="shared" si="0"/>
        <v>0</v>
      </c>
      <c r="O52" s="69"/>
      <c r="P52" s="69">
        <f t="shared" si="3"/>
        <v>0</v>
      </c>
      <c r="Q52" s="70">
        <f t="shared" si="1"/>
        <v>0</v>
      </c>
      <c r="R52" s="69"/>
      <c r="S52" s="71">
        <f t="shared" si="4"/>
        <v>0</v>
      </c>
      <c r="T52" s="70">
        <f t="shared" si="2"/>
        <v>0</v>
      </c>
      <c r="U52" s="69"/>
      <c r="V52" s="731">
        <f t="shared" si="5"/>
        <v>0</v>
      </c>
    </row>
    <row r="53" spans="13:22" x14ac:dyDescent="0.2">
      <c r="M53" s="1579" t="s">
        <v>1293</v>
      </c>
      <c r="N53" s="730">
        <f t="shared" si="0"/>
        <v>0</v>
      </c>
      <c r="O53" s="69"/>
      <c r="P53" s="69">
        <f t="shared" si="3"/>
        <v>0</v>
      </c>
      <c r="Q53" s="70">
        <f t="shared" si="1"/>
        <v>0</v>
      </c>
      <c r="R53" s="69"/>
      <c r="S53" s="71">
        <f t="shared" si="4"/>
        <v>0</v>
      </c>
      <c r="T53" s="70">
        <f t="shared" si="2"/>
        <v>0</v>
      </c>
      <c r="U53" s="69"/>
      <c r="V53" s="731">
        <f t="shared" si="5"/>
        <v>0</v>
      </c>
    </row>
    <row r="54" spans="13:22" x14ac:dyDescent="0.2">
      <c r="M54" s="1579" t="s">
        <v>1294</v>
      </c>
      <c r="N54" s="730">
        <f t="shared" si="0"/>
        <v>0</v>
      </c>
      <c r="O54" s="69"/>
      <c r="P54" s="69">
        <f t="shared" si="3"/>
        <v>0</v>
      </c>
      <c r="Q54" s="70">
        <f t="shared" si="1"/>
        <v>0</v>
      </c>
      <c r="R54" s="69"/>
      <c r="S54" s="71">
        <f t="shared" si="4"/>
        <v>0</v>
      </c>
      <c r="T54" s="70">
        <f t="shared" si="2"/>
        <v>0</v>
      </c>
      <c r="U54" s="69"/>
      <c r="V54" s="731">
        <f t="shared" si="5"/>
        <v>0</v>
      </c>
    </row>
    <row r="55" spans="13:22" x14ac:dyDescent="0.2">
      <c r="M55" s="676"/>
      <c r="N55" s="730"/>
      <c r="O55" s="69"/>
      <c r="P55" s="69"/>
      <c r="Q55" s="70"/>
      <c r="R55" s="69"/>
      <c r="S55" s="71"/>
      <c r="T55" s="70"/>
      <c r="U55" s="69"/>
      <c r="V55" s="731"/>
    </row>
    <row r="56" spans="13:22" x14ac:dyDescent="0.2">
      <c r="M56" s="676" t="s">
        <v>525</v>
      </c>
      <c r="N56" s="730">
        <f t="shared" si="0"/>
        <v>0</v>
      </c>
      <c r="O56" s="69"/>
      <c r="P56" s="69">
        <f t="shared" si="3"/>
        <v>0</v>
      </c>
      <c r="Q56" s="70">
        <f t="shared" si="1"/>
        <v>0</v>
      </c>
      <c r="R56" s="69"/>
      <c r="S56" s="71">
        <f t="shared" si="4"/>
        <v>0</v>
      </c>
      <c r="T56" s="70">
        <f t="shared" si="2"/>
        <v>0</v>
      </c>
      <c r="U56" s="69"/>
      <c r="V56" s="731">
        <f t="shared" si="5"/>
        <v>0</v>
      </c>
    </row>
    <row r="57" spans="13:22" x14ac:dyDescent="0.2">
      <c r="M57" s="676" t="s">
        <v>526</v>
      </c>
      <c r="N57" s="730">
        <f t="shared" si="0"/>
        <v>0</v>
      </c>
      <c r="O57" s="69"/>
      <c r="P57" s="69">
        <f t="shared" si="3"/>
        <v>0</v>
      </c>
      <c r="Q57" s="70">
        <f t="shared" si="1"/>
        <v>0</v>
      </c>
      <c r="R57" s="69"/>
      <c r="S57" s="71">
        <f t="shared" si="4"/>
        <v>0</v>
      </c>
      <c r="T57" s="70">
        <f t="shared" si="2"/>
        <v>0</v>
      </c>
      <c r="U57" s="69"/>
      <c r="V57" s="731">
        <f t="shared" si="5"/>
        <v>0</v>
      </c>
    </row>
    <row r="58" spans="13:22" x14ac:dyDescent="0.2">
      <c r="M58" s="676" t="s">
        <v>527</v>
      </c>
      <c r="N58" s="730">
        <f t="shared" si="0"/>
        <v>0</v>
      </c>
      <c r="O58" s="69"/>
      <c r="P58" s="69">
        <f t="shared" si="3"/>
        <v>0</v>
      </c>
      <c r="Q58" s="70">
        <f t="shared" si="1"/>
        <v>0</v>
      </c>
      <c r="R58" s="69"/>
      <c r="S58" s="71">
        <f t="shared" si="4"/>
        <v>0</v>
      </c>
      <c r="T58" s="70">
        <f t="shared" si="2"/>
        <v>0</v>
      </c>
      <c r="U58" s="69"/>
      <c r="V58" s="731">
        <f t="shared" si="5"/>
        <v>0</v>
      </c>
    </row>
    <row r="59" spans="13:22" x14ac:dyDescent="0.2">
      <c r="M59" s="676" t="s">
        <v>528</v>
      </c>
      <c r="N59" s="730">
        <f t="shared" si="0"/>
        <v>0</v>
      </c>
      <c r="O59" s="69"/>
      <c r="P59" s="69">
        <f t="shared" si="3"/>
        <v>0</v>
      </c>
      <c r="Q59" s="70">
        <f t="shared" si="1"/>
        <v>0</v>
      </c>
      <c r="R59" s="69"/>
      <c r="S59" s="71">
        <f t="shared" si="4"/>
        <v>0</v>
      </c>
      <c r="T59" s="70">
        <f t="shared" si="2"/>
        <v>0</v>
      </c>
      <c r="U59" s="69"/>
      <c r="V59" s="731">
        <f t="shared" si="5"/>
        <v>0</v>
      </c>
    </row>
    <row r="60" spans="13:22" x14ac:dyDescent="0.2">
      <c r="M60" s="676" t="s">
        <v>991</v>
      </c>
      <c r="N60" s="1994">
        <f t="shared" si="0"/>
        <v>0</v>
      </c>
      <c r="O60" s="69"/>
      <c r="P60" s="69">
        <f t="shared" si="3"/>
        <v>0</v>
      </c>
      <c r="Q60" s="70">
        <f t="shared" si="1"/>
        <v>0</v>
      </c>
      <c r="R60" s="69"/>
      <c r="S60" s="71">
        <f t="shared" si="4"/>
        <v>0</v>
      </c>
      <c r="T60" s="70">
        <f t="shared" si="2"/>
        <v>0</v>
      </c>
      <c r="U60" s="69"/>
      <c r="V60" s="731">
        <f t="shared" si="5"/>
        <v>0</v>
      </c>
    </row>
    <row r="61" spans="13:22" ht="13.5" thickBot="1" x14ac:dyDescent="0.25">
      <c r="M61" s="680" t="s">
        <v>1992</v>
      </c>
      <c r="N61" s="730">
        <f t="shared" si="0"/>
        <v>0</v>
      </c>
      <c r="O61" s="69"/>
      <c r="P61" s="69">
        <f t="shared" si="3"/>
        <v>0</v>
      </c>
      <c r="Q61" s="70">
        <f t="shared" si="1"/>
        <v>0</v>
      </c>
      <c r="R61" s="69"/>
      <c r="S61" s="1295">
        <f t="shared" si="4"/>
        <v>0</v>
      </c>
      <c r="T61" s="70">
        <f>T125*$L125</f>
        <v>0</v>
      </c>
      <c r="U61" s="69"/>
      <c r="V61" s="733">
        <f t="shared" si="5"/>
        <v>0</v>
      </c>
    </row>
    <row r="62" spans="13:22" ht="14.25" thickTop="1" thickBot="1" x14ac:dyDescent="0.25">
      <c r="M62" s="677"/>
      <c r="N62" s="1293">
        <f t="shared" ref="N62:V62" si="6">SUM(N6:N61)</f>
        <v>0</v>
      </c>
      <c r="O62" s="100"/>
      <c r="P62" s="100">
        <f t="shared" si="6"/>
        <v>0</v>
      </c>
      <c r="Q62" s="100">
        <f>SUM(Q6:Q61)</f>
        <v>0</v>
      </c>
      <c r="R62" s="100"/>
      <c r="S62" s="101">
        <f t="shared" si="6"/>
        <v>0</v>
      </c>
      <c r="T62" s="100">
        <f t="shared" si="6"/>
        <v>0</v>
      </c>
      <c r="U62" s="100"/>
      <c r="V62" s="1294">
        <f t="shared" si="6"/>
        <v>0</v>
      </c>
    </row>
    <row r="63" spans="13:22" ht="13.5" thickTop="1" x14ac:dyDescent="0.2"/>
    <row r="65" spans="12:22" x14ac:dyDescent="0.2">
      <c r="V65" s="33"/>
    </row>
    <row r="66" spans="12:22" ht="13.5" thickBot="1" x14ac:dyDescent="0.25">
      <c r="V66" s="33" t="s">
        <v>557</v>
      </c>
    </row>
    <row r="67" spans="12:22" ht="13.5" thickTop="1" x14ac:dyDescent="0.2">
      <c r="L67" s="855" t="s">
        <v>315</v>
      </c>
      <c r="N67" s="3450" t="s">
        <v>256</v>
      </c>
      <c r="O67" s="3451"/>
      <c r="P67" s="3453"/>
      <c r="Q67" s="3452" t="s">
        <v>257</v>
      </c>
      <c r="R67" s="3451"/>
      <c r="S67" s="3453"/>
      <c r="T67" s="3452" t="s">
        <v>756</v>
      </c>
      <c r="U67" s="3451"/>
      <c r="V67" s="3454"/>
    </row>
    <row r="68" spans="12:22" x14ac:dyDescent="0.2">
      <c r="L68" s="855" t="s">
        <v>316</v>
      </c>
      <c r="N68" s="110" t="s">
        <v>249</v>
      </c>
      <c r="O68" s="36" t="s">
        <v>247</v>
      </c>
      <c r="P68" s="36"/>
      <c r="Q68" s="35" t="s">
        <v>249</v>
      </c>
      <c r="R68" s="36" t="s">
        <v>247</v>
      </c>
      <c r="S68" s="37"/>
      <c r="T68" s="35" t="s">
        <v>249</v>
      </c>
      <c r="U68" s="36" t="s">
        <v>247</v>
      </c>
      <c r="V68" s="109"/>
    </row>
    <row r="69" spans="12:22" ht="13.5" thickBot="1" x14ac:dyDescent="0.25">
      <c r="L69" s="855" t="s">
        <v>317</v>
      </c>
      <c r="N69" s="526" t="s">
        <v>248</v>
      </c>
      <c r="O69" s="463" t="s">
        <v>246</v>
      </c>
      <c r="P69" s="463" t="s">
        <v>244</v>
      </c>
      <c r="Q69" s="683" t="s">
        <v>248</v>
      </c>
      <c r="R69" s="463" t="s">
        <v>246</v>
      </c>
      <c r="S69" s="684" t="s">
        <v>244</v>
      </c>
      <c r="T69" s="683" t="s">
        <v>248</v>
      </c>
      <c r="U69" s="463" t="s">
        <v>246</v>
      </c>
      <c r="V69" s="685" t="s">
        <v>244</v>
      </c>
    </row>
    <row r="70" spans="12:22" ht="13.5" thickTop="1" x14ac:dyDescent="0.2">
      <c r="L70" s="853">
        <f>Saisies_Exploitation!D252</f>
        <v>0</v>
      </c>
      <c r="M70" s="675" t="s">
        <v>1283</v>
      </c>
      <c r="N70" s="1095">
        <f>Paramètres!FH6</f>
        <v>0.436</v>
      </c>
      <c r="O70" s="600"/>
      <c r="P70" s="600"/>
      <c r="Q70" s="1097">
        <f>Paramètres!FK6</f>
        <v>0.38</v>
      </c>
      <c r="R70" s="1093"/>
      <c r="S70" s="1094"/>
      <c r="T70" s="1100">
        <f>Paramètres!FN6</f>
        <v>0.34899999999999998</v>
      </c>
      <c r="U70" s="600"/>
      <c r="V70" s="679"/>
    </row>
    <row r="71" spans="12:22" x14ac:dyDescent="0.2">
      <c r="L71" s="853">
        <f>Saisies_Exploitation!D253</f>
        <v>0</v>
      </c>
      <c r="M71" s="676" t="s">
        <v>1284</v>
      </c>
      <c r="N71" s="1095">
        <f>Paramètres!FH7</f>
        <v>0.46700000000000003</v>
      </c>
      <c r="O71" s="600"/>
      <c r="P71" s="600"/>
      <c r="Q71" s="1098">
        <f>Paramètres!FK7</f>
        <v>0.38</v>
      </c>
      <c r="R71" s="600"/>
      <c r="S71" s="602"/>
      <c r="T71" s="1100">
        <f>Paramètres!FN7</f>
        <v>0.34899999999999998</v>
      </c>
      <c r="U71" s="600"/>
      <c r="V71" s="679"/>
    </row>
    <row r="72" spans="12:22" x14ac:dyDescent="0.2">
      <c r="L72" s="853">
        <f>Saisies_Exploitation!D254</f>
        <v>0</v>
      </c>
      <c r="M72" s="676" t="s">
        <v>1988</v>
      </c>
      <c r="N72" s="1095">
        <f>Paramètres!FH8</f>
        <v>0.41299999999999998</v>
      </c>
      <c r="O72" s="600"/>
      <c r="P72" s="600"/>
      <c r="Q72" s="1098">
        <f>Paramètres!FK8</f>
        <v>0.38</v>
      </c>
      <c r="R72" s="600"/>
      <c r="S72" s="602"/>
      <c r="T72" s="1100">
        <f>Paramètres!FN8</f>
        <v>0.34899999999999998</v>
      </c>
      <c r="U72" s="600"/>
      <c r="V72" s="679"/>
    </row>
    <row r="73" spans="12:22" x14ac:dyDescent="0.2">
      <c r="L73" s="853">
        <f>Saisies_Exploitation!D255</f>
        <v>0</v>
      </c>
      <c r="M73" s="676" t="s">
        <v>1285</v>
      </c>
      <c r="N73" s="1095">
        <f>Paramètres!FH9</f>
        <v>0.36499999999999999</v>
      </c>
      <c r="O73" s="600"/>
      <c r="P73" s="600"/>
      <c r="Q73" s="1098">
        <f>Paramètres!FK9</f>
        <v>0.35299999999999998</v>
      </c>
      <c r="R73" s="600"/>
      <c r="S73" s="602"/>
      <c r="T73" s="1100">
        <f>Paramètres!FN9</f>
        <v>0.33</v>
      </c>
      <c r="U73" s="600"/>
      <c r="V73" s="679"/>
    </row>
    <row r="74" spans="12:22" x14ac:dyDescent="0.2">
      <c r="L74" s="853">
        <f>Saisies_Exploitation!D256</f>
        <v>0</v>
      </c>
      <c r="M74" s="676" t="s">
        <v>1286</v>
      </c>
      <c r="N74" s="1095">
        <f>Paramètres!FH10</f>
        <v>0.36499999999999999</v>
      </c>
      <c r="O74" s="600"/>
      <c r="P74" s="600"/>
      <c r="Q74" s="1098">
        <f>Paramètres!FK10</f>
        <v>0.34899999999999998</v>
      </c>
      <c r="R74" s="600"/>
      <c r="S74" s="602"/>
      <c r="T74" s="1100">
        <f>Paramètres!FN10</f>
        <v>0.33300000000000002</v>
      </c>
      <c r="U74" s="600"/>
      <c r="V74" s="679"/>
    </row>
    <row r="75" spans="12:22" x14ac:dyDescent="0.2">
      <c r="L75" s="853">
        <f>Saisies_Exploitation!D257</f>
        <v>0</v>
      </c>
      <c r="M75" s="676" t="s">
        <v>1287</v>
      </c>
      <c r="N75" s="1095">
        <f>Paramètres!FH11</f>
        <v>0.36199999999999999</v>
      </c>
      <c r="O75" s="600"/>
      <c r="P75" s="600"/>
      <c r="Q75" s="1098">
        <f>Paramètres!FK11</f>
        <v>0.495</v>
      </c>
      <c r="R75" s="600"/>
      <c r="S75" s="602"/>
      <c r="T75" s="1100">
        <f>Paramètres!FN11</f>
        <v>0.373</v>
      </c>
      <c r="U75" s="600"/>
      <c r="V75" s="679"/>
    </row>
    <row r="76" spans="12:22" x14ac:dyDescent="0.2">
      <c r="L76" s="853">
        <f>Saisies_Exploitation!D258</f>
        <v>0</v>
      </c>
      <c r="M76" s="676" t="s">
        <v>1288</v>
      </c>
      <c r="N76" s="1095">
        <f>Paramètres!FH12</f>
        <v>0.50700000000000001</v>
      </c>
      <c r="O76" s="600"/>
      <c r="P76" s="600"/>
      <c r="Q76" s="1098">
        <f>Paramètres!FK12</f>
        <v>0.66200000000000003</v>
      </c>
      <c r="R76" s="600"/>
      <c r="S76" s="602"/>
      <c r="T76" s="1100">
        <f>Paramètres!FN12</f>
        <v>0.54900000000000004</v>
      </c>
      <c r="U76" s="600"/>
      <c r="V76" s="679"/>
    </row>
    <row r="77" spans="12:22" x14ac:dyDescent="0.2">
      <c r="L77" s="853">
        <f>Saisies_Exploitation!D259</f>
        <v>0</v>
      </c>
      <c r="M77" s="676" t="s">
        <v>518</v>
      </c>
      <c r="N77" s="1095">
        <f>Paramètres!FH13</f>
        <v>7.6999999999999999E-2</v>
      </c>
      <c r="O77" s="600"/>
      <c r="P77" s="600"/>
      <c r="Q77" s="1098">
        <f>Paramètres!FK13</f>
        <v>6.2E-2</v>
      </c>
      <c r="R77" s="600"/>
      <c r="S77" s="602"/>
      <c r="T77" s="1100">
        <f>Paramètres!FN13</f>
        <v>5.8000000000000003E-2</v>
      </c>
      <c r="U77" s="600"/>
      <c r="V77" s="679"/>
    </row>
    <row r="78" spans="12:22" x14ac:dyDescent="0.2">
      <c r="L78" s="853">
        <f>Saisies_Exploitation!D260</f>
        <v>0</v>
      </c>
      <c r="M78" s="676" t="s">
        <v>989</v>
      </c>
      <c r="N78" s="1095">
        <f>Paramètres!FH14</f>
        <v>0.08</v>
      </c>
      <c r="O78" s="600"/>
      <c r="P78" s="600"/>
      <c r="Q78" s="1098">
        <f>Paramètres!FK14</f>
        <v>6.5000000000000002E-2</v>
      </c>
      <c r="R78" s="600"/>
      <c r="S78" s="602"/>
      <c r="T78" s="1100">
        <f>Paramètres!FN14</f>
        <v>6.0999999999999999E-2</v>
      </c>
      <c r="U78" s="600"/>
      <c r="V78" s="679"/>
    </row>
    <row r="79" spans="12:22" x14ac:dyDescent="0.2">
      <c r="L79" s="853">
        <f>Saisies_Exploitation!D261</f>
        <v>0</v>
      </c>
      <c r="M79" s="676" t="s">
        <v>1755</v>
      </c>
      <c r="N79" s="1095">
        <f>Paramètres!FH15</f>
        <v>2.1000000000000001E-2</v>
      </c>
      <c r="O79" s="600"/>
      <c r="P79" s="600"/>
      <c r="Q79" s="1098">
        <f>Paramètres!FK15</f>
        <v>8.9999999999999993E-3</v>
      </c>
      <c r="R79" s="600"/>
      <c r="S79" s="602"/>
      <c r="T79" s="1100">
        <f>Paramètres!FN15</f>
        <v>2.3E-2</v>
      </c>
      <c r="U79" s="600"/>
      <c r="V79" s="679"/>
    </row>
    <row r="80" spans="12:22" x14ac:dyDescent="0.2">
      <c r="L80" s="853">
        <f>Saisies_Exploitation!D262</f>
        <v>0</v>
      </c>
      <c r="M80" s="676" t="s">
        <v>1753</v>
      </c>
      <c r="N80" s="1095">
        <f>Paramètres!FH16</f>
        <v>2.8000000000000001E-2</v>
      </c>
      <c r="O80" s="600"/>
      <c r="P80" s="600"/>
      <c r="Q80" s="1098">
        <f>Paramètres!FK16</f>
        <v>1.4999999999999999E-2</v>
      </c>
      <c r="R80" s="600"/>
      <c r="S80" s="602"/>
      <c r="T80" s="1100">
        <f>Paramètres!FN16</f>
        <v>0.03</v>
      </c>
      <c r="U80" s="600"/>
      <c r="V80" s="679"/>
    </row>
    <row r="81" spans="12:22" x14ac:dyDescent="0.2">
      <c r="L81" s="853">
        <f>Saisies_Exploitation!D263</f>
        <v>0</v>
      </c>
      <c r="M81" s="676" t="s">
        <v>1754</v>
      </c>
      <c r="N81" s="1095">
        <f>Paramètres!FH17</f>
        <v>4.2000000000000003E-2</v>
      </c>
      <c r="O81" s="600"/>
      <c r="P81" s="600"/>
      <c r="Q81" s="1098">
        <f>Paramètres!FK17</f>
        <v>2.5999999999999999E-2</v>
      </c>
      <c r="R81" s="600"/>
      <c r="S81" s="602"/>
      <c r="T81" s="1100">
        <f>Paramètres!FN17</f>
        <v>4.1000000000000002E-2</v>
      </c>
      <c r="U81" s="600"/>
      <c r="V81" s="679"/>
    </row>
    <row r="82" spans="12:22" x14ac:dyDescent="0.2">
      <c r="L82" s="853">
        <f>Saisies_Exploitation!D264</f>
        <v>0</v>
      </c>
      <c r="M82" s="676" t="s">
        <v>1756</v>
      </c>
      <c r="N82" s="1095">
        <f>Paramètres!FH18</f>
        <v>7.0000000000000007E-2</v>
      </c>
      <c r="O82" s="600"/>
      <c r="P82" s="600"/>
      <c r="Q82" s="1098">
        <f>Paramètres!FK18</f>
        <v>5.2999999999999999E-2</v>
      </c>
      <c r="R82" s="600"/>
      <c r="S82" s="602"/>
      <c r="T82" s="1100">
        <f>Paramètres!FN18</f>
        <v>6.2E-2</v>
      </c>
      <c r="U82" s="600"/>
      <c r="V82" s="679"/>
    </row>
    <row r="83" spans="12:22" x14ac:dyDescent="0.2">
      <c r="L83" s="853">
        <f>Saisies_Exploitation!D265</f>
        <v>0</v>
      </c>
      <c r="M83" s="676" t="s">
        <v>1757</v>
      </c>
      <c r="N83" s="1095">
        <f>Paramètres!FH19</f>
        <v>8.2000000000000003E-2</v>
      </c>
      <c r="O83" s="600"/>
      <c r="P83" s="600"/>
      <c r="Q83" s="1098">
        <f>Paramètres!FK19</f>
        <v>7.5999999999999998E-2</v>
      </c>
      <c r="R83" s="600"/>
      <c r="S83" s="602"/>
      <c r="T83" s="1100">
        <f>Paramètres!FN19</f>
        <v>7.2999999999999995E-2</v>
      </c>
      <c r="U83" s="600"/>
      <c r="V83" s="679"/>
    </row>
    <row r="84" spans="12:22" x14ac:dyDescent="0.2">
      <c r="L84" s="853">
        <f>Saisies_Exploitation!D266</f>
        <v>0</v>
      </c>
      <c r="M84" s="676" t="s">
        <v>1758</v>
      </c>
      <c r="N84" s="1095">
        <f>Paramètres!FH20</f>
        <v>1.2E-2</v>
      </c>
      <c r="O84" s="600"/>
      <c r="P84" s="600"/>
      <c r="Q84" s="1098">
        <f>Paramètres!FK20</f>
        <v>6.0000000000000001E-3</v>
      </c>
      <c r="R84" s="600"/>
      <c r="S84" s="602"/>
      <c r="T84" s="1100">
        <f>Paramètres!FN20</f>
        <v>1.2999999999999999E-2</v>
      </c>
      <c r="U84" s="600"/>
      <c r="V84" s="679"/>
    </row>
    <row r="85" spans="12:22" x14ac:dyDescent="0.2">
      <c r="L85" s="853">
        <f>Saisies_Exploitation!D267</f>
        <v>0</v>
      </c>
      <c r="M85" s="676" t="s">
        <v>1759</v>
      </c>
      <c r="N85" s="1993">
        <f>Paramètres!FH21</f>
        <v>0.20300000000000001</v>
      </c>
      <c r="O85" s="600"/>
      <c r="P85" s="600"/>
      <c r="Q85" s="1098">
        <f>Paramètres!FK21</f>
        <v>0.155</v>
      </c>
      <c r="R85" s="600"/>
      <c r="S85" s="602"/>
      <c r="T85" s="1100">
        <f>Paramètres!FN21</f>
        <v>0.16600000000000001</v>
      </c>
      <c r="U85" s="600"/>
      <c r="V85" s="679"/>
    </row>
    <row r="86" spans="12:22" x14ac:dyDescent="0.2">
      <c r="L86" s="853">
        <f>Saisies_Exploitation!D268</f>
        <v>0</v>
      </c>
      <c r="M86" s="676" t="s">
        <v>1991</v>
      </c>
      <c r="N86" s="1993">
        <f>Paramètres!FH22</f>
        <v>0.14799999999999999</v>
      </c>
      <c r="O86" s="600"/>
      <c r="P86" s="600"/>
      <c r="Q86" s="1098">
        <f>Paramètres!FK22</f>
        <v>0.1</v>
      </c>
      <c r="R86" s="600"/>
      <c r="S86" s="602"/>
      <c r="T86" s="1100">
        <f>Paramètres!FN22</f>
        <v>0.1</v>
      </c>
      <c r="U86" s="600"/>
      <c r="V86" s="679"/>
    </row>
    <row r="87" spans="12:22" x14ac:dyDescent="0.2">
      <c r="L87" s="853"/>
      <c r="M87" s="676"/>
      <c r="N87" s="1577"/>
      <c r="O87" s="1575"/>
      <c r="P87" s="1575"/>
      <c r="Q87" s="1578"/>
      <c r="R87" s="1575"/>
      <c r="S87" s="1576"/>
      <c r="T87" s="1575"/>
      <c r="U87" s="600"/>
      <c r="V87" s="679"/>
    </row>
    <row r="88" spans="12:22" x14ac:dyDescent="0.2">
      <c r="L88" s="853">
        <f>Saisies_Exploitation!D270</f>
        <v>0</v>
      </c>
      <c r="M88" s="676" t="s">
        <v>1291</v>
      </c>
      <c r="N88" s="1095">
        <f>Paramètres!FH24</f>
        <v>0.77700000000000002</v>
      </c>
      <c r="O88" s="600"/>
      <c r="P88" s="600"/>
      <c r="Q88" s="1098">
        <f>Paramètres!FK24</f>
        <v>1.163</v>
      </c>
      <c r="R88" s="600"/>
      <c r="S88" s="602"/>
      <c r="T88" s="1100">
        <f>Paramètres!FN24</f>
        <v>0.81</v>
      </c>
      <c r="U88" s="600"/>
      <c r="V88" s="679"/>
    </row>
    <row r="89" spans="12:22" x14ac:dyDescent="0.2">
      <c r="L89" s="853">
        <f>Saisies_Exploitation!D271</f>
        <v>0</v>
      </c>
      <c r="M89" s="676" t="s">
        <v>1496</v>
      </c>
      <c r="N89" s="1095">
        <f>Paramètres!FH25</f>
        <v>0.56699999999999995</v>
      </c>
      <c r="O89" s="600"/>
      <c r="P89" s="600"/>
      <c r="Q89" s="1098">
        <f>Paramètres!FK25</f>
        <v>0.435</v>
      </c>
      <c r="R89" s="600"/>
      <c r="S89" s="602"/>
      <c r="T89" s="1100">
        <f>Paramètres!FN25</f>
        <v>0.39500000000000002</v>
      </c>
      <c r="U89" s="600"/>
      <c r="V89" s="679"/>
    </row>
    <row r="90" spans="12:22" x14ac:dyDescent="0.2">
      <c r="L90" s="853">
        <f>Saisies_Exploitation!D272</f>
        <v>0</v>
      </c>
      <c r="M90" s="676" t="s">
        <v>1497</v>
      </c>
      <c r="N90" s="1095">
        <f>Paramètres!FH26</f>
        <v>1.032</v>
      </c>
      <c r="O90" s="600"/>
      <c r="P90" s="600"/>
      <c r="Q90" s="1098">
        <f>Paramètres!FK26</f>
        <v>0.84</v>
      </c>
      <c r="R90" s="600"/>
      <c r="S90" s="602"/>
      <c r="T90" s="1100">
        <f>Paramètres!FN26</f>
        <v>0.55400000000000005</v>
      </c>
      <c r="U90" s="600"/>
      <c r="V90" s="679"/>
    </row>
    <row r="91" spans="12:22" x14ac:dyDescent="0.2">
      <c r="L91" s="853">
        <f>Saisies_Exploitation!D273</f>
        <v>0</v>
      </c>
      <c r="M91" s="676" t="s">
        <v>530</v>
      </c>
      <c r="N91" s="1095">
        <f>Paramètres!FH27</f>
        <v>0.45500000000000002</v>
      </c>
      <c r="O91" s="600"/>
      <c r="P91" s="600"/>
      <c r="Q91" s="1098">
        <f>Paramètres!FK27</f>
        <v>0.48099999999999998</v>
      </c>
      <c r="R91" s="600"/>
      <c r="S91" s="602"/>
      <c r="T91" s="1100">
        <f>Paramètres!FN27</f>
        <v>0.38500000000000001</v>
      </c>
      <c r="U91" s="600"/>
      <c r="V91" s="679"/>
    </row>
    <row r="92" spans="12:22" x14ac:dyDescent="0.2">
      <c r="L92" s="853">
        <f>Saisies_Exploitation!D274</f>
        <v>0</v>
      </c>
      <c r="M92" s="676" t="s">
        <v>531</v>
      </c>
      <c r="N92" s="1095">
        <f>Paramètres!FH28</f>
        <v>0.155</v>
      </c>
      <c r="O92" s="600"/>
      <c r="P92" s="600"/>
      <c r="Q92" s="1098">
        <f>Paramètres!FK28</f>
        <v>0.16600000000000001</v>
      </c>
      <c r="R92" s="600"/>
      <c r="S92" s="602"/>
      <c r="T92" s="1100">
        <f>Paramètres!FN28</f>
        <v>0.18</v>
      </c>
      <c r="U92" s="600"/>
      <c r="V92" s="679"/>
    </row>
    <row r="93" spans="12:22" x14ac:dyDescent="0.2">
      <c r="L93" s="853">
        <f>Saisies_Exploitation!D275</f>
        <v>0</v>
      </c>
      <c r="M93" s="676" t="s">
        <v>532</v>
      </c>
      <c r="N93" s="1095">
        <f>Paramètres!FH29</f>
        <v>0.112</v>
      </c>
      <c r="O93" s="600"/>
      <c r="P93" s="600"/>
      <c r="Q93" s="1098">
        <f>Paramètres!FK29</f>
        <v>7.5999999999999998E-2</v>
      </c>
      <c r="R93" s="600"/>
      <c r="S93" s="602"/>
      <c r="T93" s="1100">
        <f>Paramètres!FN29</f>
        <v>6.0999999999999999E-2</v>
      </c>
      <c r="U93" s="600"/>
      <c r="V93" s="679"/>
    </row>
    <row r="94" spans="12:22" x14ac:dyDescent="0.2">
      <c r="L94" s="853"/>
      <c r="M94" s="676"/>
      <c r="N94" s="1577"/>
      <c r="O94" s="1575"/>
      <c r="P94" s="1575"/>
      <c r="Q94" s="1578"/>
      <c r="R94" s="1575"/>
      <c r="S94" s="1576"/>
      <c r="T94" s="1575"/>
      <c r="U94" s="600"/>
      <c r="V94" s="679"/>
    </row>
    <row r="95" spans="12:22" x14ac:dyDescent="0.2">
      <c r="L95" s="853">
        <f>Saisies_Exploitation!J252</f>
        <v>0</v>
      </c>
      <c r="M95" s="676" t="s">
        <v>2003</v>
      </c>
      <c r="N95" s="1095">
        <f>Paramètres!FH31</f>
        <v>0.17399999999999999</v>
      </c>
      <c r="O95" s="1575"/>
      <c r="P95" s="1575"/>
      <c r="Q95" s="1098">
        <f>Paramètres!FK31</f>
        <v>0.153</v>
      </c>
      <c r="R95" s="600"/>
      <c r="S95" s="602"/>
      <c r="T95" s="1100">
        <f>Paramètres!FN31</f>
        <v>0.14399999999999999</v>
      </c>
      <c r="U95" s="600"/>
      <c r="V95" s="1998"/>
    </row>
    <row r="96" spans="12:22" x14ac:dyDescent="0.2">
      <c r="L96" s="853">
        <f>Saisies_Exploitation!J253</f>
        <v>0</v>
      </c>
      <c r="M96" s="676" t="s">
        <v>2004</v>
      </c>
      <c r="N96" s="1095">
        <f>Paramètres!FH32</f>
        <v>0.20699999999999999</v>
      </c>
      <c r="O96" s="1575"/>
      <c r="P96" s="1575"/>
      <c r="Q96" s="1098">
        <f>Paramètres!FK32</f>
        <v>0.17399999999999999</v>
      </c>
      <c r="R96" s="600"/>
      <c r="S96" s="602"/>
      <c r="T96" s="1100">
        <f>Paramètres!FN32</f>
        <v>0.16400000000000001</v>
      </c>
      <c r="U96" s="600"/>
      <c r="V96" s="1998"/>
    </row>
    <row r="97" spans="12:22" x14ac:dyDescent="0.2">
      <c r="L97" s="853">
        <f>Saisies_Exploitation!J254</f>
        <v>0</v>
      </c>
      <c r="M97" s="676" t="s">
        <v>2005</v>
      </c>
      <c r="N97" s="1095">
        <f>Paramètres!FH33</f>
        <v>0.56399999999999995</v>
      </c>
      <c r="O97" s="1575"/>
      <c r="P97" s="1575"/>
      <c r="Q97" s="1098">
        <f>Paramètres!FK33</f>
        <v>0.72399999999999998</v>
      </c>
      <c r="R97" s="600"/>
      <c r="S97" s="602"/>
      <c r="T97" s="1100">
        <f>Paramètres!FN33</f>
        <v>0.69599999999999995</v>
      </c>
      <c r="U97" s="600"/>
      <c r="V97" s="1998"/>
    </row>
    <row r="98" spans="12:22" x14ac:dyDescent="0.2">
      <c r="L98" s="853">
        <f>Saisies_Exploitation!J255</f>
        <v>0</v>
      </c>
      <c r="M98" s="676" t="s">
        <v>2006</v>
      </c>
      <c r="N98" s="1095">
        <f>Paramètres!FH34</f>
        <v>0.76</v>
      </c>
      <c r="O98" s="1575"/>
      <c r="P98" s="1575"/>
      <c r="Q98" s="1098">
        <f>Paramètres!FK34</f>
        <v>1</v>
      </c>
      <c r="R98" s="600"/>
      <c r="S98" s="602"/>
      <c r="T98" s="1100">
        <f>Paramètres!FN34</f>
        <v>0.91</v>
      </c>
      <c r="U98" s="600"/>
      <c r="V98" s="1998"/>
    </row>
    <row r="99" spans="12:22" x14ac:dyDescent="0.2">
      <c r="L99" s="853">
        <f>Saisies_Exploitation!J256</f>
        <v>0</v>
      </c>
      <c r="M99" s="676" t="s">
        <v>2007</v>
      </c>
      <c r="N99" s="1095">
        <f>Paramètres!FH35</f>
        <v>0.56100000000000005</v>
      </c>
      <c r="O99" s="1575"/>
      <c r="P99" s="1575"/>
      <c r="Q99" s="1098">
        <f>Paramètres!FK35</f>
        <v>0.751</v>
      </c>
      <c r="R99" s="600"/>
      <c r="S99" s="602"/>
      <c r="T99" s="1100">
        <f>Paramètres!FN35</f>
        <v>0.83899999999999997</v>
      </c>
      <c r="U99" s="600"/>
      <c r="V99" s="1998"/>
    </row>
    <row r="100" spans="12:22" x14ac:dyDescent="0.2">
      <c r="L100" s="853">
        <f>Saisies_Exploitation!J257</f>
        <v>0</v>
      </c>
      <c r="M100" s="676" t="s">
        <v>2008</v>
      </c>
      <c r="N100" s="1095">
        <f>Paramètres!FH36</f>
        <v>0.53300000000000003</v>
      </c>
      <c r="O100" s="1575"/>
      <c r="P100" s="1575"/>
      <c r="Q100" s="1098">
        <f>Paramètres!FK36</f>
        <v>0.629</v>
      </c>
      <c r="R100" s="600"/>
      <c r="S100" s="602"/>
      <c r="T100" s="1100">
        <f>Paramètres!FN36</f>
        <v>0.70799999999999996</v>
      </c>
      <c r="U100" s="600"/>
      <c r="V100" s="1998"/>
    </row>
    <row r="101" spans="12:22" x14ac:dyDescent="0.2">
      <c r="L101" s="853">
        <f>Saisies_Exploitation!J258</f>
        <v>0</v>
      </c>
      <c r="M101" s="676" t="s">
        <v>2016</v>
      </c>
      <c r="N101" s="1095">
        <f>Paramètres!FH37</f>
        <v>6.0999999999999999E-2</v>
      </c>
      <c r="O101" s="1575"/>
      <c r="P101" s="1575"/>
      <c r="Q101" s="1098">
        <f>Paramètres!FK37</f>
        <v>4.7E-2</v>
      </c>
      <c r="R101" s="600"/>
      <c r="S101" s="602"/>
      <c r="T101" s="1100">
        <f>Paramètres!FN37</f>
        <v>3.1E-2</v>
      </c>
      <c r="U101" s="600"/>
      <c r="V101" s="1998"/>
    </row>
    <row r="102" spans="12:22" x14ac:dyDescent="0.2">
      <c r="L102" s="853">
        <f>Saisies_Exploitation!J259</f>
        <v>0</v>
      </c>
      <c r="M102" s="676" t="s">
        <v>2015</v>
      </c>
      <c r="N102" s="1095">
        <f>Paramètres!FH38</f>
        <v>0.12</v>
      </c>
      <c r="O102" s="600"/>
      <c r="P102" s="600"/>
      <c r="Q102" s="1098">
        <f>Paramètres!FK38</f>
        <v>0.11799999999999999</v>
      </c>
      <c r="R102" s="600"/>
      <c r="S102" s="602"/>
      <c r="T102" s="1100">
        <f>Paramètres!FN38</f>
        <v>0.13500000000000001</v>
      </c>
      <c r="U102" s="600"/>
      <c r="V102" s="679"/>
    </row>
    <row r="103" spans="12:22" x14ac:dyDescent="0.2">
      <c r="L103" s="853">
        <f>Saisies_Exploitation!J260</f>
        <v>0</v>
      </c>
      <c r="M103" s="676" t="s">
        <v>2013</v>
      </c>
      <c r="N103" s="1095">
        <f>Paramètres!FH39</f>
        <v>0.13200000000000001</v>
      </c>
      <c r="O103" s="600"/>
      <c r="P103" s="600"/>
      <c r="Q103" s="1098">
        <f>Paramètres!FK39</f>
        <v>8.4000000000000005E-2</v>
      </c>
      <c r="R103" s="600"/>
      <c r="S103" s="602"/>
      <c r="T103" s="1100">
        <f>Paramètres!FN39</f>
        <v>0.10299999999999999</v>
      </c>
      <c r="U103" s="600"/>
      <c r="V103" s="679"/>
    </row>
    <row r="104" spans="12:22" x14ac:dyDescent="0.2">
      <c r="L104" s="853">
        <f>Saisies_Exploitation!J261</f>
        <v>0</v>
      </c>
      <c r="M104" s="676" t="s">
        <v>2014</v>
      </c>
      <c r="N104" s="1095">
        <f>Paramètres!FH40</f>
        <v>9.4E-2</v>
      </c>
      <c r="O104" s="600"/>
      <c r="P104" s="600"/>
      <c r="Q104" s="1098">
        <f>Paramètres!FK40</f>
        <v>6.9000000000000006E-2</v>
      </c>
      <c r="R104" s="600"/>
      <c r="S104" s="602"/>
      <c r="T104" s="1100">
        <f>Paramètres!FN40</f>
        <v>8.3000000000000004E-2</v>
      </c>
      <c r="U104" s="600"/>
      <c r="V104" s="679"/>
    </row>
    <row r="105" spans="12:22" x14ac:dyDescent="0.2">
      <c r="L105" s="853">
        <f>Saisies_Exploitation!J262</f>
        <v>0</v>
      </c>
      <c r="M105" s="1579" t="s">
        <v>2009</v>
      </c>
      <c r="N105" s="1095">
        <f>Paramètres!FH41</f>
        <v>5.2999999999999999E-2</v>
      </c>
      <c r="O105" s="600"/>
      <c r="P105" s="600"/>
      <c r="Q105" s="1098">
        <f>Paramètres!FK41</f>
        <v>4.4999999999999998E-2</v>
      </c>
      <c r="R105" s="600"/>
      <c r="S105" s="602"/>
      <c r="T105" s="1100">
        <f>Paramètres!FN41</f>
        <v>5.5E-2</v>
      </c>
      <c r="U105" s="600"/>
      <c r="V105" s="679"/>
    </row>
    <row r="106" spans="12:22" x14ac:dyDescent="0.2">
      <c r="L106" s="853">
        <f>Saisies_Exploitation!J263</f>
        <v>0</v>
      </c>
      <c r="M106" s="676" t="s">
        <v>2010</v>
      </c>
      <c r="N106" s="1095">
        <f>Paramètres!FH42</f>
        <v>4.7E-2</v>
      </c>
      <c r="O106" s="600"/>
      <c r="P106" s="600"/>
      <c r="Q106" s="1098">
        <f>Paramètres!FK42</f>
        <v>5.0999999999999997E-2</v>
      </c>
      <c r="R106" s="600"/>
      <c r="S106" s="602"/>
      <c r="T106" s="1100">
        <f>Paramètres!FN42</f>
        <v>5.6000000000000001E-2</v>
      </c>
      <c r="U106" s="600"/>
      <c r="V106" s="679"/>
    </row>
    <row r="107" spans="12:22" x14ac:dyDescent="0.2">
      <c r="L107" s="853">
        <f>Saisies_Exploitation!J264</f>
        <v>0</v>
      </c>
      <c r="M107" s="676" t="s">
        <v>2012</v>
      </c>
      <c r="N107" s="1095">
        <f>Paramètres!FH43</f>
        <v>0.108</v>
      </c>
      <c r="O107" s="600"/>
      <c r="P107" s="600"/>
      <c r="Q107" s="1098">
        <f>Paramètres!FK43</f>
        <v>8.3000000000000004E-2</v>
      </c>
      <c r="R107" s="600"/>
      <c r="S107" s="602"/>
      <c r="T107" s="1100">
        <f>Paramètres!FN43</f>
        <v>9.2999999999999999E-2</v>
      </c>
      <c r="U107" s="600"/>
      <c r="V107" s="679"/>
    </row>
    <row r="108" spans="12:22" x14ac:dyDescent="0.2">
      <c r="L108" s="853">
        <f>Saisies_Exploitation!J265</f>
        <v>0</v>
      </c>
      <c r="M108" s="676" t="s">
        <v>2011</v>
      </c>
      <c r="N108" s="1095">
        <f>Paramètres!FH44</f>
        <v>6.0999999999999999E-2</v>
      </c>
      <c r="O108" s="600"/>
      <c r="P108" s="600"/>
      <c r="Q108" s="1098">
        <f>Paramètres!FK44</f>
        <v>5.6000000000000001E-2</v>
      </c>
      <c r="R108" s="600"/>
      <c r="S108" s="602"/>
      <c r="T108" s="1100">
        <f>Paramètres!FN44</f>
        <v>6.4000000000000001E-2</v>
      </c>
      <c r="U108" s="600"/>
      <c r="V108" s="679"/>
    </row>
    <row r="109" spans="12:22" x14ac:dyDescent="0.2">
      <c r="L109" s="853"/>
      <c r="M109" s="676"/>
      <c r="N109" s="1577"/>
      <c r="O109" s="1575"/>
      <c r="P109" s="1575"/>
      <c r="Q109" s="1578"/>
      <c r="R109" s="1575"/>
      <c r="S109" s="1576"/>
      <c r="T109" s="1575"/>
      <c r="U109" s="600"/>
      <c r="V109" s="679"/>
    </row>
    <row r="110" spans="12:22" x14ac:dyDescent="0.2">
      <c r="L110" s="853">
        <f>Saisies_Exploitation!J267</f>
        <v>0</v>
      </c>
      <c r="M110" s="676" t="s">
        <v>522</v>
      </c>
      <c r="N110" s="1095">
        <f>Paramètres!FH46</f>
        <v>0.58399999999999996</v>
      </c>
      <c r="O110" s="600"/>
      <c r="P110" s="600"/>
      <c r="Q110" s="1098">
        <f>Paramètres!FK46</f>
        <v>0.59199999999999997</v>
      </c>
      <c r="R110" s="600"/>
      <c r="S110" s="602"/>
      <c r="T110" s="1100">
        <f>Paramètres!FN46</f>
        <v>0.52100000000000002</v>
      </c>
      <c r="U110" s="600"/>
      <c r="V110" s="679"/>
    </row>
    <row r="111" spans="12:22" x14ac:dyDescent="0.2">
      <c r="L111" s="853">
        <f>Saisies_Exploitation!J268</f>
        <v>0</v>
      </c>
      <c r="M111" s="676" t="s">
        <v>523</v>
      </c>
      <c r="N111" s="1095">
        <f>Paramètres!FH47</f>
        <v>0.47199999999999998</v>
      </c>
      <c r="O111" s="600"/>
      <c r="P111" s="600"/>
      <c r="Q111" s="1098">
        <f>Paramètres!FK47</f>
        <v>0.61399999999999999</v>
      </c>
      <c r="R111" s="600"/>
      <c r="S111" s="602"/>
      <c r="T111" s="1100">
        <f>Paramètres!FN47</f>
        <v>0.44</v>
      </c>
      <c r="U111" s="600"/>
      <c r="V111" s="679"/>
    </row>
    <row r="112" spans="12:22" x14ac:dyDescent="0.2">
      <c r="L112" s="853">
        <f>Saisies_Exploitation!J269</f>
        <v>0</v>
      </c>
      <c r="M112" s="676" t="s">
        <v>1495</v>
      </c>
      <c r="N112" s="1095">
        <f>Paramètres!FH48</f>
        <v>0.10299999999999999</v>
      </c>
      <c r="O112" s="600"/>
      <c r="P112" s="600"/>
      <c r="Q112" s="1098">
        <f>Paramètres!FK48</f>
        <v>0.104</v>
      </c>
      <c r="R112" s="600"/>
      <c r="S112" s="602"/>
      <c r="T112" s="1100">
        <f>Paramètres!FN48</f>
        <v>0.111</v>
      </c>
      <c r="U112" s="600"/>
      <c r="V112" s="679"/>
    </row>
    <row r="113" spans="12:23" x14ac:dyDescent="0.2">
      <c r="L113" s="853">
        <f>Saisies_Exploitation!J270</f>
        <v>0</v>
      </c>
      <c r="M113" s="1579" t="s">
        <v>1493</v>
      </c>
      <c r="N113" s="1095">
        <f>Paramètres!FH49</f>
        <v>9.0999999999999998E-2</v>
      </c>
      <c r="O113" s="600"/>
      <c r="P113" s="600"/>
      <c r="Q113" s="1098">
        <f>Paramètres!FK49</f>
        <v>9.0999999999999998E-2</v>
      </c>
      <c r="R113" s="600"/>
      <c r="S113" s="602"/>
      <c r="T113" s="1100">
        <f>Paramètres!FN49</f>
        <v>0.11</v>
      </c>
      <c r="U113" s="600"/>
      <c r="V113" s="679"/>
    </row>
    <row r="114" spans="12:23" x14ac:dyDescent="0.2">
      <c r="L114" s="853">
        <f>Saisies_Exploitation!J271</f>
        <v>0</v>
      </c>
      <c r="M114" s="676" t="s">
        <v>1993</v>
      </c>
      <c r="N114" s="1095">
        <f>Paramètres!FH50</f>
        <v>0.23699999999999999</v>
      </c>
      <c r="O114" s="600"/>
      <c r="P114" s="600"/>
      <c r="Q114" s="1098">
        <f>Paramètres!FK50</f>
        <v>0.23</v>
      </c>
      <c r="R114" s="600"/>
      <c r="S114" s="602"/>
      <c r="T114" s="1100">
        <f>Paramètres!FN50</f>
        <v>0.24199999999999999</v>
      </c>
      <c r="U114" s="600"/>
      <c r="V114" s="679"/>
    </row>
    <row r="115" spans="12:23" x14ac:dyDescent="0.2">
      <c r="L115" s="853">
        <f>Saisies_Exploitation!J272</f>
        <v>0</v>
      </c>
      <c r="M115" s="676" t="s">
        <v>1470</v>
      </c>
      <c r="N115" s="1095">
        <f>Paramètres!FH51</f>
        <v>0.23899999999999999</v>
      </c>
      <c r="O115" s="600"/>
      <c r="P115" s="600"/>
      <c r="Q115" s="1098">
        <f>Paramètres!FK51</f>
        <v>0.217</v>
      </c>
      <c r="R115" s="600"/>
      <c r="S115" s="602"/>
      <c r="T115" s="1100">
        <f>Paramètres!FN51</f>
        <v>0.19400000000000001</v>
      </c>
      <c r="U115" s="600"/>
      <c r="V115" s="679"/>
    </row>
    <row r="116" spans="12:23" x14ac:dyDescent="0.2">
      <c r="L116" s="853">
        <f>Saisies_Exploitation!J273</f>
        <v>0</v>
      </c>
      <c r="M116" s="676" t="s">
        <v>1494</v>
      </c>
      <c r="N116" s="1095">
        <f>Paramètres!FH52</f>
        <v>0.28499999999999998</v>
      </c>
      <c r="O116" s="600"/>
      <c r="P116" s="600"/>
      <c r="Q116" s="1098">
        <f>Paramètres!FK52</f>
        <v>0.24199999999999999</v>
      </c>
      <c r="R116" s="600"/>
      <c r="S116" s="602"/>
      <c r="T116" s="1100">
        <f>Paramètres!FN52</f>
        <v>0.29399999999999998</v>
      </c>
      <c r="U116" s="600"/>
      <c r="V116" s="679"/>
    </row>
    <row r="117" spans="12:23" x14ac:dyDescent="0.2">
      <c r="L117" s="853">
        <f>Saisies_Exploitation!J274</f>
        <v>0</v>
      </c>
      <c r="M117" s="1579" t="s">
        <v>1293</v>
      </c>
      <c r="N117" s="1095">
        <f>Paramètres!FH53</f>
        <v>0.33900000000000002</v>
      </c>
      <c r="O117" s="600"/>
      <c r="P117" s="600"/>
      <c r="Q117" s="1098">
        <f>Paramètres!FK53</f>
        <v>0.33800000000000002</v>
      </c>
      <c r="R117" s="600"/>
      <c r="S117" s="602"/>
      <c r="T117" s="1100">
        <f>Paramètres!FN53</f>
        <v>0.33500000000000002</v>
      </c>
      <c r="U117" s="600"/>
      <c r="V117" s="679"/>
    </row>
    <row r="118" spans="12:23" x14ac:dyDescent="0.2">
      <c r="L118" s="853">
        <f>Saisies_Exploitation!J275</f>
        <v>0</v>
      </c>
      <c r="M118" s="1579" t="s">
        <v>1294</v>
      </c>
      <c r="N118" s="1095">
        <f>Paramètres!FH54</f>
        <v>0.193</v>
      </c>
      <c r="O118" s="600"/>
      <c r="P118" s="600"/>
      <c r="Q118" s="1098">
        <f>Paramètres!FK54</f>
        <v>0.191</v>
      </c>
      <c r="R118" s="600"/>
      <c r="S118" s="602"/>
      <c r="T118" s="1100">
        <f>Paramètres!FN54</f>
        <v>0.19900000000000001</v>
      </c>
      <c r="U118" s="600"/>
      <c r="V118" s="679"/>
    </row>
    <row r="119" spans="12:23" x14ac:dyDescent="0.2">
      <c r="L119" s="853"/>
      <c r="M119" s="676"/>
      <c r="N119" s="1577"/>
      <c r="O119" s="1575"/>
      <c r="P119" s="1575"/>
      <c r="Q119" s="1578"/>
      <c r="R119" s="1575"/>
      <c r="S119" s="1576"/>
      <c r="T119" s="1575"/>
      <c r="U119" s="600"/>
      <c r="V119" s="679"/>
    </row>
    <row r="120" spans="12:23" x14ac:dyDescent="0.2">
      <c r="L120" s="853">
        <f>Saisies_Exploitation!J277</f>
        <v>0</v>
      </c>
      <c r="M120" s="676" t="s">
        <v>525</v>
      </c>
      <c r="N120" s="1095">
        <f>Paramètres!FH56</f>
        <v>0.20799999999999999</v>
      </c>
      <c r="O120" s="600"/>
      <c r="P120" s="600"/>
      <c r="Q120" s="1098">
        <f>Paramètres!FK56</f>
        <v>0.375</v>
      </c>
      <c r="R120" s="600"/>
      <c r="S120" s="602"/>
      <c r="T120" s="1100">
        <f>Paramètres!FN56</f>
        <v>0.23499999999999999</v>
      </c>
      <c r="U120" s="600"/>
      <c r="V120" s="679"/>
    </row>
    <row r="121" spans="12:23" x14ac:dyDescent="0.2">
      <c r="L121" s="853">
        <f>Saisies_Exploitation!J278</f>
        <v>0</v>
      </c>
      <c r="M121" s="676" t="s">
        <v>526</v>
      </c>
      <c r="N121" s="1095">
        <f>Paramètres!FH57</f>
        <v>5.0999999999999997E-2</v>
      </c>
      <c r="O121" s="600"/>
      <c r="P121" s="600"/>
      <c r="Q121" s="1098">
        <f>Paramètres!FK57</f>
        <v>6.7000000000000004E-2</v>
      </c>
      <c r="R121" s="600"/>
      <c r="S121" s="602"/>
      <c r="T121" s="1100">
        <f>Paramètres!FN57</f>
        <v>7.0999999999999994E-2</v>
      </c>
      <c r="U121" s="600"/>
      <c r="V121" s="679"/>
    </row>
    <row r="122" spans="12:23" x14ac:dyDescent="0.2">
      <c r="L122" s="853">
        <f>Saisies_Exploitation!J279</f>
        <v>0</v>
      </c>
      <c r="M122" s="676" t="s">
        <v>527</v>
      </c>
      <c r="N122" s="1095">
        <f>Paramètres!FH58</f>
        <v>4.2000000000000003E-2</v>
      </c>
      <c r="O122" s="600"/>
      <c r="P122" s="600"/>
      <c r="Q122" s="1098">
        <f>Paramètres!FK58</f>
        <v>3.5000000000000003E-2</v>
      </c>
      <c r="R122" s="600"/>
      <c r="S122" s="602"/>
      <c r="T122" s="1100">
        <f>Paramètres!FN58</f>
        <v>4.2999999999999997E-2</v>
      </c>
      <c r="U122" s="600"/>
      <c r="V122" s="679"/>
    </row>
    <row r="123" spans="12:23" x14ac:dyDescent="0.2">
      <c r="L123" s="853">
        <f>Saisies_Exploitation!J280</f>
        <v>0</v>
      </c>
      <c r="M123" s="676" t="s">
        <v>528</v>
      </c>
      <c r="N123" s="1095">
        <f>Paramètres!FH59</f>
        <v>6.8000000000000005E-2</v>
      </c>
      <c r="O123" s="600"/>
      <c r="P123" s="600"/>
      <c r="Q123" s="1098">
        <f>Paramètres!FK59</f>
        <v>7.2999999999999995E-2</v>
      </c>
      <c r="R123" s="600"/>
      <c r="S123" s="602"/>
      <c r="T123" s="1100">
        <f>Paramètres!FN59</f>
        <v>6.2E-2</v>
      </c>
      <c r="U123" s="600"/>
      <c r="V123" s="679"/>
    </row>
    <row r="124" spans="12:23" x14ac:dyDescent="0.2">
      <c r="L124" s="853">
        <f>Saisies_Exploitation!J281</f>
        <v>0</v>
      </c>
      <c r="M124" s="676" t="s">
        <v>991</v>
      </c>
      <c r="N124" s="1993">
        <f>Paramètres!FH60</f>
        <v>6.2E-2</v>
      </c>
      <c r="O124" s="600"/>
      <c r="P124" s="600"/>
      <c r="Q124" s="1098">
        <f>Paramètres!FK60</f>
        <v>7.0000000000000007E-2</v>
      </c>
      <c r="R124" s="600"/>
      <c r="S124" s="602"/>
      <c r="T124" s="1100">
        <f>Paramètres!FN60</f>
        <v>5.8000000000000003E-2</v>
      </c>
      <c r="U124" s="600"/>
      <c r="V124" s="679"/>
    </row>
    <row r="125" spans="12:23" ht="13.5" thickBot="1" x14ac:dyDescent="0.25">
      <c r="L125" s="853">
        <f>Saisies_Exploitation!J282</f>
        <v>0</v>
      </c>
      <c r="M125" s="680" t="s">
        <v>1992</v>
      </c>
      <c r="N125" s="1096">
        <f>Paramètres!FH61</f>
        <v>0.123</v>
      </c>
      <c r="O125" s="686"/>
      <c r="P125" s="686"/>
      <c r="Q125" s="1099">
        <f>Paramètres!FK61</f>
        <v>0.14000000000000001</v>
      </c>
      <c r="R125" s="686"/>
      <c r="S125" s="687"/>
      <c r="T125" s="1101">
        <f>Paramètres!FN61</f>
        <v>0.12</v>
      </c>
      <c r="U125" s="686"/>
      <c r="V125" s="688"/>
    </row>
    <row r="126" spans="12:23" ht="13.5" thickTop="1" x14ac:dyDescent="0.2">
      <c r="L126"/>
      <c r="M126"/>
      <c r="N126"/>
      <c r="O126"/>
      <c r="P126"/>
      <c r="Q126"/>
      <c r="R126"/>
      <c r="S126"/>
      <c r="T126"/>
      <c r="U126"/>
      <c r="V126"/>
      <c r="W126"/>
    </row>
    <row r="127" spans="12:23" x14ac:dyDescent="0.2">
      <c r="L127"/>
      <c r="M127"/>
      <c r="N127"/>
      <c r="O127"/>
      <c r="P127"/>
      <c r="Q127"/>
      <c r="R127"/>
      <c r="S127"/>
      <c r="T127"/>
      <c r="U127"/>
      <c r="V127"/>
      <c r="W127"/>
    </row>
    <row r="128" spans="12:23" x14ac:dyDescent="0.2">
      <c r="L128"/>
      <c r="M128"/>
      <c r="N128"/>
      <c r="O128"/>
      <c r="P128"/>
      <c r="Q128"/>
      <c r="R128"/>
      <c r="S128"/>
      <c r="T128"/>
      <c r="U128"/>
      <c r="V128"/>
      <c r="W128"/>
    </row>
    <row r="129" spans="12:23" x14ac:dyDescent="0.2">
      <c r="L129"/>
      <c r="M129"/>
      <c r="N129"/>
      <c r="O129"/>
      <c r="P129"/>
      <c r="Q129"/>
      <c r="R129"/>
      <c r="S129"/>
      <c r="T129"/>
      <c r="U129"/>
      <c r="V129"/>
      <c r="W129"/>
    </row>
    <row r="130" spans="12:23" x14ac:dyDescent="0.2">
      <c r="L130"/>
      <c r="M130"/>
      <c r="N130"/>
      <c r="O130"/>
      <c r="P130"/>
      <c r="Q130"/>
      <c r="R130"/>
      <c r="S130"/>
      <c r="T130"/>
      <c r="U130"/>
      <c r="V130"/>
      <c r="W130"/>
    </row>
  </sheetData>
  <sheetProtection password="D187" sheet="1" objects="1" scenarios="1"/>
  <mergeCells count="6">
    <mergeCell ref="T3:V3"/>
    <mergeCell ref="T67:V67"/>
    <mergeCell ref="N3:P3"/>
    <mergeCell ref="Q3:S3"/>
    <mergeCell ref="N67:P67"/>
    <mergeCell ref="Q67:S67"/>
  </mergeCells>
  <phoneticPr fontId="14" type="noConversion"/>
  <pageMargins left="0.78740157499999996" right="0.78740157499999996" top="0.984251969" bottom="0.984251969" header="0.4921259845" footer="0.4921259845"/>
  <pageSetup paperSize="9" scale="7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2:V30"/>
  <sheetViews>
    <sheetView topLeftCell="L1" workbookViewId="0"/>
  </sheetViews>
  <sheetFormatPr baseColWidth="10" defaultColWidth="11.42578125" defaultRowHeight="12.75" x14ac:dyDescent="0.2"/>
  <cols>
    <col min="1" max="11" width="2.7109375" style="32" hidden="1" customWidth="1"/>
    <col min="12" max="12" width="7.28515625" style="32" customWidth="1"/>
    <col min="13" max="13" width="27.7109375" style="32" bestFit="1"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16384" width="11.42578125" style="32"/>
  </cols>
  <sheetData>
    <row r="2" spans="12:22" ht="13.5" thickBot="1" x14ac:dyDescent="0.25">
      <c r="V2" s="33" t="s">
        <v>122</v>
      </c>
    </row>
    <row r="3" spans="12:22" ht="13.5" thickTop="1" x14ac:dyDescent="0.2">
      <c r="N3" s="3450" t="s">
        <v>450</v>
      </c>
      <c r="O3" s="3451"/>
      <c r="P3" s="3453"/>
      <c r="Q3" s="3452" t="s">
        <v>451</v>
      </c>
      <c r="R3" s="3451"/>
      <c r="S3" s="3453"/>
      <c r="T3" s="3452" t="s">
        <v>755</v>
      </c>
      <c r="U3" s="3451"/>
      <c r="V3" s="3454"/>
    </row>
    <row r="4" spans="12:22" x14ac:dyDescent="0.2">
      <c r="N4" s="110" t="s">
        <v>249</v>
      </c>
      <c r="O4" s="36" t="s">
        <v>247</v>
      </c>
      <c r="P4" s="36"/>
      <c r="Q4" s="35" t="s">
        <v>249</v>
      </c>
      <c r="R4" s="36" t="s">
        <v>247</v>
      </c>
      <c r="S4" s="37"/>
      <c r="T4" s="35" t="s">
        <v>249</v>
      </c>
      <c r="U4" s="36" t="s">
        <v>247</v>
      </c>
      <c r="V4" s="109"/>
    </row>
    <row r="5" spans="12:22" ht="13.5" thickBot="1" x14ac:dyDescent="0.25">
      <c r="N5" s="526" t="s">
        <v>248</v>
      </c>
      <c r="O5" s="463" t="s">
        <v>246</v>
      </c>
      <c r="P5" s="463" t="s">
        <v>244</v>
      </c>
      <c r="Q5" s="683" t="s">
        <v>248</v>
      </c>
      <c r="R5" s="463" t="s">
        <v>246</v>
      </c>
      <c r="S5" s="684" t="s">
        <v>244</v>
      </c>
      <c r="T5" s="683" t="s">
        <v>248</v>
      </c>
      <c r="U5" s="463" t="s">
        <v>246</v>
      </c>
      <c r="V5" s="685" t="s">
        <v>244</v>
      </c>
    </row>
    <row r="6" spans="12:22" ht="13.5" thickTop="1" x14ac:dyDescent="0.2">
      <c r="M6" s="675" t="s">
        <v>552</v>
      </c>
      <c r="N6" s="69">
        <f>N19*$L19</f>
        <v>0</v>
      </c>
      <c r="O6" s="69"/>
      <c r="P6" s="69">
        <f>N6+O6</f>
        <v>0</v>
      </c>
      <c r="Q6" s="70">
        <f>Q19*$L19</f>
        <v>0</v>
      </c>
      <c r="R6" s="69"/>
      <c r="S6" s="71">
        <f>Q6+R6</f>
        <v>0</v>
      </c>
      <c r="T6" s="70">
        <f>T19*$L19</f>
        <v>0</v>
      </c>
      <c r="U6" s="69"/>
      <c r="V6" s="731">
        <f>T6+U6</f>
        <v>0</v>
      </c>
    </row>
    <row r="7" spans="12:22" x14ac:dyDescent="0.2">
      <c r="M7" s="676" t="s">
        <v>553</v>
      </c>
      <c r="N7" s="69">
        <f>N20*$L20</f>
        <v>0</v>
      </c>
      <c r="O7" s="69"/>
      <c r="P7" s="69">
        <f>N7+O7</f>
        <v>0</v>
      </c>
      <c r="Q7" s="70">
        <f>Q20*$L20</f>
        <v>0</v>
      </c>
      <c r="R7" s="69"/>
      <c r="S7" s="71">
        <f>Q7+R7</f>
        <v>0</v>
      </c>
      <c r="T7" s="70">
        <f>T20*$L20</f>
        <v>0</v>
      </c>
      <c r="U7" s="69"/>
      <c r="V7" s="731">
        <f>T7+U7</f>
        <v>0</v>
      </c>
    </row>
    <row r="8" spans="12:22" x14ac:dyDescent="0.2">
      <c r="M8" s="676" t="s">
        <v>554</v>
      </c>
      <c r="N8" s="69">
        <f>N21*$L21</f>
        <v>0</v>
      </c>
      <c r="O8" s="69"/>
      <c r="P8" s="69">
        <f>N8+O8</f>
        <v>0</v>
      </c>
      <c r="Q8" s="70">
        <f>Q21*$L21</f>
        <v>0</v>
      </c>
      <c r="R8" s="69"/>
      <c r="S8" s="71">
        <f>Q8+R8</f>
        <v>0</v>
      </c>
      <c r="T8" s="70">
        <f>T21*$L21</f>
        <v>0</v>
      </c>
      <c r="U8" s="69"/>
      <c r="V8" s="731">
        <f>T8+U8</f>
        <v>0</v>
      </c>
    </row>
    <row r="9" spans="12:22" x14ac:dyDescent="0.2">
      <c r="M9" s="676"/>
      <c r="N9" s="69"/>
      <c r="O9" s="69"/>
      <c r="P9" s="69"/>
      <c r="Q9" s="70"/>
      <c r="R9" s="69"/>
      <c r="S9" s="71"/>
      <c r="T9" s="70"/>
      <c r="U9" s="69"/>
      <c r="V9" s="731"/>
    </row>
    <row r="10" spans="12:22" x14ac:dyDescent="0.2">
      <c r="M10" s="676" t="s">
        <v>555</v>
      </c>
      <c r="N10" s="69">
        <f>N28*$L28</f>
        <v>0</v>
      </c>
      <c r="O10" s="69"/>
      <c r="P10" s="69">
        <f>N10+O10</f>
        <v>0</v>
      </c>
      <c r="Q10" s="70">
        <f>Q28*$L28</f>
        <v>0</v>
      </c>
      <c r="R10" s="69"/>
      <c r="S10" s="71">
        <f>Q10+R10</f>
        <v>0</v>
      </c>
      <c r="T10" s="70">
        <f>T28*$L28</f>
        <v>0</v>
      </c>
      <c r="U10" s="69"/>
      <c r="V10" s="731">
        <f>T10+U10</f>
        <v>0</v>
      </c>
    </row>
    <row r="11" spans="12:22" x14ac:dyDescent="0.2">
      <c r="M11" s="676" t="s">
        <v>556</v>
      </c>
      <c r="N11" s="69">
        <f>N29*$L29</f>
        <v>0</v>
      </c>
      <c r="O11" s="69"/>
      <c r="P11" s="69">
        <f>N11+O11</f>
        <v>0</v>
      </c>
      <c r="Q11" s="70">
        <f>Q29*$L29</f>
        <v>0</v>
      </c>
      <c r="R11" s="69"/>
      <c r="S11" s="1295">
        <f>Q11+R11</f>
        <v>0</v>
      </c>
      <c r="T11" s="70">
        <f>T29*$L29</f>
        <v>0</v>
      </c>
      <c r="U11" s="69"/>
      <c r="V11" s="733">
        <f>T11+U11</f>
        <v>0</v>
      </c>
    </row>
    <row r="12" spans="12:22" ht="13.5" thickBot="1" x14ac:dyDescent="0.25">
      <c r="M12" s="677" t="s">
        <v>244</v>
      </c>
      <c r="N12" s="100">
        <f t="shared" ref="N12:V12" si="0">SUM(N6:N11)</f>
        <v>0</v>
      </c>
      <c r="O12" s="100">
        <f t="shared" si="0"/>
        <v>0</v>
      </c>
      <c r="P12" s="100">
        <f t="shared" si="0"/>
        <v>0</v>
      </c>
      <c r="Q12" s="99">
        <f t="shared" si="0"/>
        <v>0</v>
      </c>
      <c r="R12" s="100">
        <f t="shared" si="0"/>
        <v>0</v>
      </c>
      <c r="S12" s="101">
        <f t="shared" si="0"/>
        <v>0</v>
      </c>
      <c r="T12" s="100">
        <f t="shared" si="0"/>
        <v>0</v>
      </c>
      <c r="U12" s="100">
        <f t="shared" si="0"/>
        <v>0</v>
      </c>
      <c r="V12" s="1294">
        <f t="shared" si="0"/>
        <v>0</v>
      </c>
    </row>
    <row r="13" spans="12:22" ht="13.5" thickTop="1" x14ac:dyDescent="0.2">
      <c r="Q13"/>
      <c r="R13"/>
      <c r="S13"/>
    </row>
    <row r="14" spans="12:22" x14ac:dyDescent="0.2">
      <c r="Q14"/>
      <c r="R14"/>
      <c r="S14"/>
    </row>
    <row r="15" spans="12:22" ht="13.5" thickBot="1" x14ac:dyDescent="0.25">
      <c r="Q15"/>
      <c r="R15"/>
      <c r="S15"/>
      <c r="V15" s="33" t="s">
        <v>558</v>
      </c>
    </row>
    <row r="16" spans="12:22" ht="13.5" thickTop="1" x14ac:dyDescent="0.2">
      <c r="L16" s="855" t="s">
        <v>315</v>
      </c>
      <c r="N16" s="3450" t="s">
        <v>256</v>
      </c>
      <c r="O16" s="3451"/>
      <c r="P16" s="3453"/>
      <c r="Q16" s="3452" t="s">
        <v>257</v>
      </c>
      <c r="R16" s="3451"/>
      <c r="S16" s="3453"/>
      <c r="T16" s="3452" t="s">
        <v>756</v>
      </c>
      <c r="U16" s="3451"/>
      <c r="V16" s="3454"/>
    </row>
    <row r="17" spans="12:22" x14ac:dyDescent="0.2">
      <c r="L17" s="855" t="s">
        <v>316</v>
      </c>
      <c r="N17" s="110" t="s">
        <v>249</v>
      </c>
      <c r="O17" s="36" t="s">
        <v>247</v>
      </c>
      <c r="P17" s="36"/>
      <c r="Q17" s="35" t="s">
        <v>249</v>
      </c>
      <c r="R17" s="36" t="s">
        <v>247</v>
      </c>
      <c r="S17" s="37"/>
      <c r="T17" s="35" t="s">
        <v>249</v>
      </c>
      <c r="U17" s="36" t="s">
        <v>247</v>
      </c>
      <c r="V17" s="109"/>
    </row>
    <row r="18" spans="12:22" ht="13.5" thickBot="1" x14ac:dyDescent="0.25">
      <c r="L18" s="855" t="s">
        <v>317</v>
      </c>
      <c r="N18" s="112" t="s">
        <v>248</v>
      </c>
      <c r="O18" s="39" t="s">
        <v>246</v>
      </c>
      <c r="P18" s="39" t="s">
        <v>244</v>
      </c>
      <c r="Q18" s="38" t="s">
        <v>248</v>
      </c>
      <c r="R18" s="39" t="s">
        <v>246</v>
      </c>
      <c r="S18" s="40" t="s">
        <v>244</v>
      </c>
      <c r="T18" s="38" t="s">
        <v>248</v>
      </c>
      <c r="U18" s="39" t="s">
        <v>246</v>
      </c>
      <c r="V18" s="113" t="s">
        <v>244</v>
      </c>
    </row>
    <row r="19" spans="12:22" ht="13.5" thickTop="1" x14ac:dyDescent="0.2">
      <c r="L19" s="853">
        <f>HS_LapProNE</f>
        <v>0</v>
      </c>
      <c r="M19" s="675" t="s">
        <v>552</v>
      </c>
      <c r="N19" s="1095">
        <f>Paramètres!FS6</f>
        <v>6.6000000000000003E-2</v>
      </c>
      <c r="O19" s="600"/>
      <c r="P19" s="600"/>
      <c r="Q19" s="1103">
        <f>Paramètres!FV6</f>
        <v>9.0999999999999998E-2</v>
      </c>
      <c r="R19" s="600"/>
      <c r="S19" s="601"/>
      <c r="T19" s="1100">
        <f>Paramètres!FY6</f>
        <v>6.5000000000000002E-2</v>
      </c>
      <c r="U19" s="600"/>
      <c r="V19" s="678"/>
    </row>
    <row r="20" spans="12:22" x14ac:dyDescent="0.2">
      <c r="L20" s="853">
        <f>HS_LapProN</f>
        <v>0</v>
      </c>
      <c r="M20" s="676" t="s">
        <v>553</v>
      </c>
      <c r="N20" s="1095">
        <f>Paramètres!FS7</f>
        <v>2.5000000000000001E-2</v>
      </c>
      <c r="O20" s="600"/>
      <c r="P20" s="600"/>
      <c r="Q20" s="1098">
        <f>Paramètres!FV7</f>
        <v>3.2000000000000001E-2</v>
      </c>
      <c r="R20" s="600"/>
      <c r="S20" s="602"/>
      <c r="T20" s="1100">
        <f>Paramètres!FY7</f>
        <v>2.4E-2</v>
      </c>
      <c r="U20" s="600"/>
      <c r="V20" s="679"/>
    </row>
    <row r="21" spans="12:22" ht="13.5" thickBot="1" x14ac:dyDescent="0.25">
      <c r="L21" s="853">
        <f>HS_LapProE</f>
        <v>0</v>
      </c>
      <c r="M21" s="680" t="s">
        <v>554</v>
      </c>
      <c r="N21" s="1096">
        <f>Paramètres!FS8</f>
        <v>4.8000000000000001E-2</v>
      </c>
      <c r="O21" s="686"/>
      <c r="P21" s="686"/>
      <c r="Q21" s="1099">
        <f>Paramètres!FV8</f>
        <v>5.5E-2</v>
      </c>
      <c r="R21" s="686"/>
      <c r="S21" s="687"/>
      <c r="T21" s="1101">
        <f>Paramètres!FY8</f>
        <v>4.2999999999999997E-2</v>
      </c>
      <c r="U21" s="686"/>
      <c r="V21" s="688"/>
    </row>
    <row r="22" spans="12:22" ht="13.5" thickTop="1" x14ac:dyDescent="0.2">
      <c r="M22"/>
      <c r="N22"/>
      <c r="O22"/>
      <c r="P22"/>
      <c r="Q22"/>
      <c r="R22"/>
      <c r="S22"/>
      <c r="T22"/>
      <c r="U22"/>
      <c r="V22"/>
    </row>
    <row r="23" spans="12:22" x14ac:dyDescent="0.2">
      <c r="Q23"/>
      <c r="R23"/>
      <c r="S23"/>
    </row>
    <row r="24" spans="12:22" ht="13.5" thickBot="1" x14ac:dyDescent="0.25">
      <c r="Q24"/>
      <c r="R24"/>
      <c r="S24"/>
      <c r="V24" s="33" t="s">
        <v>559</v>
      </c>
    </row>
    <row r="25" spans="12:22" ht="13.5" thickTop="1" x14ac:dyDescent="0.2">
      <c r="L25" s="855" t="s">
        <v>315</v>
      </c>
      <c r="N25" s="3450" t="s">
        <v>256</v>
      </c>
      <c r="O25" s="3451"/>
      <c r="P25" s="3453"/>
      <c r="Q25" s="3452" t="s">
        <v>257</v>
      </c>
      <c r="R25" s="3451"/>
      <c r="S25" s="3453"/>
      <c r="T25" s="3452" t="s">
        <v>756</v>
      </c>
      <c r="U25" s="3451"/>
      <c r="V25" s="3454"/>
    </row>
    <row r="26" spans="12:22" x14ac:dyDescent="0.2">
      <c r="L26" s="855" t="s">
        <v>316</v>
      </c>
      <c r="N26" s="110" t="s">
        <v>249</v>
      </c>
      <c r="O26" s="36" t="s">
        <v>247</v>
      </c>
      <c r="P26" s="36"/>
      <c r="Q26" s="35" t="s">
        <v>249</v>
      </c>
      <c r="R26" s="36" t="s">
        <v>247</v>
      </c>
      <c r="S26" s="37"/>
      <c r="T26" s="35" t="s">
        <v>249</v>
      </c>
      <c r="U26" s="36" t="s">
        <v>247</v>
      </c>
      <c r="V26" s="109"/>
    </row>
    <row r="27" spans="12:22" ht="13.5" thickBot="1" x14ac:dyDescent="0.25">
      <c r="L27" s="855" t="s">
        <v>317</v>
      </c>
      <c r="N27" s="112" t="s">
        <v>248</v>
      </c>
      <c r="O27" s="39" t="s">
        <v>246</v>
      </c>
      <c r="P27" s="39" t="s">
        <v>244</v>
      </c>
      <c r="Q27" s="38" t="s">
        <v>248</v>
      </c>
      <c r="R27" s="39" t="s">
        <v>246</v>
      </c>
      <c r="S27" s="40" t="s">
        <v>244</v>
      </c>
      <c r="T27" s="38" t="s">
        <v>248</v>
      </c>
      <c r="U27" s="39" t="s">
        <v>246</v>
      </c>
      <c r="V27" s="113" t="s">
        <v>244</v>
      </c>
    </row>
    <row r="28" spans="12:22" ht="13.5" thickTop="1" x14ac:dyDescent="0.2">
      <c r="L28" s="853">
        <f>HS_LapRepNE</f>
        <v>0</v>
      </c>
      <c r="M28" s="675" t="s">
        <v>555</v>
      </c>
      <c r="N28" s="1095">
        <f>Paramètres!FS15</f>
        <v>3.46</v>
      </c>
      <c r="O28" s="600"/>
      <c r="P28" s="600"/>
      <c r="Q28" s="1103">
        <f>Paramètres!FV15</f>
        <v>3.6850000000000001</v>
      </c>
      <c r="R28" s="600"/>
      <c r="S28" s="601"/>
      <c r="T28" s="1100">
        <f>Paramètres!FY15</f>
        <v>3.7</v>
      </c>
      <c r="U28" s="600"/>
      <c r="V28" s="678"/>
    </row>
    <row r="29" spans="12:22" ht="13.5" thickBot="1" x14ac:dyDescent="0.25">
      <c r="L29" s="853">
        <f>HS_LapRepN</f>
        <v>0</v>
      </c>
      <c r="M29" s="680" t="s">
        <v>556</v>
      </c>
      <c r="N29" s="1096">
        <f>Paramètres!FS16</f>
        <v>1.04</v>
      </c>
      <c r="O29" s="686"/>
      <c r="P29" s="686"/>
      <c r="Q29" s="1099">
        <f>Paramètres!FV16</f>
        <v>1.575</v>
      </c>
      <c r="R29" s="686"/>
      <c r="S29" s="687"/>
      <c r="T29" s="1101">
        <f>Paramètres!FY16</f>
        <v>1.53</v>
      </c>
      <c r="U29" s="686"/>
      <c r="V29" s="688"/>
    </row>
    <row r="30" spans="12:22" ht="13.5" thickTop="1" x14ac:dyDescent="0.2">
      <c r="M30"/>
      <c r="N30"/>
      <c r="O30"/>
      <c r="P30"/>
      <c r="Q30"/>
      <c r="R30"/>
      <c r="S30"/>
      <c r="T30"/>
      <c r="U30"/>
      <c r="V30"/>
    </row>
  </sheetData>
  <sheetProtection algorithmName="SHA-512" hashValue="2ueqBSF6vOEmBYWIoz2C6CzSsXaYcIIp99M9oyyNKcdR61ZXPdwFdOfQxelLb6qsYkVybvuYb3kQOLFPnCcPrw==" saltValue="7kjhFkmKGxzQrMPXlPP2DQ==" spinCount="100000" sheet="1" objects="1" scenarios="1"/>
  <mergeCells count="9">
    <mergeCell ref="T25:V25"/>
    <mergeCell ref="T16:V16"/>
    <mergeCell ref="T3:V3"/>
    <mergeCell ref="N25:P25"/>
    <mergeCell ref="Q25:S25"/>
    <mergeCell ref="N3:P3"/>
    <mergeCell ref="Q3:S3"/>
    <mergeCell ref="N16:P16"/>
    <mergeCell ref="Q16:S16"/>
  </mergeCells>
  <phoneticPr fontId="14" type="noConversion"/>
  <pageMargins left="0.78740157499999996" right="0.78740157499999996" top="0.984251969" bottom="0.984251969" header="0.4921259845" footer="0.4921259845"/>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dimension ref="A1:GP289"/>
  <sheetViews>
    <sheetView topLeftCell="AP153" workbookViewId="0">
      <selection activeCell="AV195" sqref="AV195"/>
    </sheetView>
  </sheetViews>
  <sheetFormatPr baseColWidth="10" defaultRowHeight="12.75" x14ac:dyDescent="0.2"/>
  <cols>
    <col min="1" max="1" width="17.28515625" customWidth="1"/>
    <col min="2" max="2" width="3.7109375" style="817" customWidth="1"/>
    <col min="3" max="3" width="13.140625" customWidth="1"/>
    <col min="4" max="4" width="42.85546875" customWidth="1"/>
    <col min="5" max="6" width="14.85546875" customWidth="1"/>
    <col min="7" max="7" width="14.42578125" customWidth="1"/>
    <col min="8" max="8" width="3.7109375" style="817" customWidth="1"/>
    <col min="9" max="9" width="7" style="630" customWidth="1"/>
    <col min="10" max="10" width="34.42578125" style="630" customWidth="1"/>
    <col min="11" max="13" width="7" style="630" customWidth="1"/>
    <col min="14" max="16" width="9.5703125" style="630" customWidth="1"/>
    <col min="17" max="19" width="7" style="630" customWidth="1"/>
    <col min="20" max="20" width="3.7109375" style="817" customWidth="1"/>
    <col min="21" max="21" width="27" customWidth="1"/>
    <col min="22" max="22" width="7.5703125" customWidth="1"/>
    <col min="23" max="23" width="3.7109375" style="817" customWidth="1"/>
    <col min="24" max="24" width="19.7109375" customWidth="1"/>
    <col min="25" max="25" width="5.85546875" customWidth="1"/>
    <col min="26" max="26" width="5.7109375" customWidth="1"/>
    <col min="27" max="27" width="4.7109375" customWidth="1"/>
    <col min="28" max="28" width="3.7109375" style="817" customWidth="1"/>
    <col min="29" max="29" width="6.85546875" customWidth="1"/>
    <col min="30" max="30" width="41" customWidth="1"/>
    <col min="31" max="32" width="6.140625" customWidth="1"/>
    <col min="33" max="33" width="3.7109375" style="817" customWidth="1"/>
    <col min="34" max="34" width="19" customWidth="1"/>
    <col min="35" max="35" width="46.85546875" customWidth="1"/>
    <col min="36" max="36" width="8.7109375" customWidth="1"/>
    <col min="37" max="37" width="9.85546875" customWidth="1"/>
    <col min="38" max="38" width="8.7109375" customWidth="1"/>
    <col min="39" max="39" width="9.85546875" customWidth="1"/>
    <col min="40" max="40" width="8.7109375" customWidth="1"/>
    <col min="41" max="41" width="9.85546875" customWidth="1"/>
    <col min="42" max="42" width="3.7109375" style="817" customWidth="1"/>
    <col min="43" max="43" width="40.7109375" customWidth="1"/>
    <col min="44" max="48" width="10.7109375" customWidth="1"/>
    <col min="49" max="49" width="10" bestFit="1" customWidth="1"/>
    <col min="50" max="50" width="10.28515625" customWidth="1"/>
    <col min="51" max="51" width="3.7109375" style="817" customWidth="1"/>
    <col min="52" max="52" width="5.140625" customWidth="1"/>
    <col min="53" max="53" width="5.85546875" customWidth="1"/>
    <col min="54" max="54" width="38.7109375" customWidth="1"/>
    <col min="55" max="55" width="10.5703125" customWidth="1"/>
    <col min="56" max="56" width="7.7109375" customWidth="1"/>
    <col min="57" max="57" width="11.140625" customWidth="1"/>
    <col min="58" max="58" width="13" customWidth="1"/>
    <col min="59" max="59" width="14.7109375" customWidth="1"/>
    <col min="60" max="60" width="3.7109375" style="817" customWidth="1"/>
    <col min="61" max="65" width="14.7109375" customWidth="1"/>
    <col min="66" max="66" width="3.7109375" style="817" customWidth="1"/>
    <col min="67" max="67" width="15.28515625" customWidth="1"/>
    <col min="68" max="68" width="2" customWidth="1"/>
    <col min="69" max="69" width="5" customWidth="1"/>
    <col min="70" max="70" width="6" customWidth="1"/>
    <col min="71" max="71" width="3.7109375" style="817" customWidth="1"/>
    <col min="72" max="72" width="3.7109375" style="630" customWidth="1"/>
    <col min="73" max="73" width="32.85546875" style="630" customWidth="1"/>
    <col min="74" max="76" width="7.140625" style="630" customWidth="1"/>
    <col min="77" max="77" width="15.28515625" style="630" customWidth="1"/>
    <col min="78" max="78" width="3.7109375" style="817" customWidth="1"/>
    <col min="79" max="79" width="18.7109375" customWidth="1"/>
    <col min="80" max="80" width="7.5703125" customWidth="1"/>
    <col min="81" max="81" width="5.85546875" customWidth="1"/>
    <col min="82" max="82" width="5.7109375" customWidth="1"/>
    <col min="83" max="83" width="4.7109375" customWidth="1"/>
    <col min="84" max="84" width="5.85546875" customWidth="1"/>
    <col min="86" max="91" width="7.140625" customWidth="1"/>
    <col min="92" max="92" width="3.7109375" style="817" customWidth="1"/>
    <col min="93" max="93" width="18.28515625" customWidth="1"/>
    <col min="94" max="94" width="17" customWidth="1"/>
    <col min="95" max="95" width="3.7109375" style="817" customWidth="1"/>
    <col min="96" max="96" width="8.85546875" customWidth="1"/>
    <col min="97" max="97" width="13.5703125" customWidth="1"/>
    <col min="98" max="98" width="12.5703125" bestFit="1" customWidth="1"/>
    <col min="99" max="99" width="6.140625" customWidth="1"/>
    <col min="100" max="100" width="10" customWidth="1"/>
    <col min="101" max="101" width="5" customWidth="1"/>
    <col min="102" max="102" width="6.140625" customWidth="1"/>
    <col min="103" max="103" width="10" customWidth="1"/>
    <col min="104" max="104" width="5" customWidth="1"/>
    <col min="105" max="105" width="6.140625" customWidth="1"/>
    <col min="106" max="106" width="10" customWidth="1"/>
    <col min="107" max="107" width="5" customWidth="1"/>
    <col min="108" max="108" width="6.140625" customWidth="1"/>
    <col min="109" max="109" width="10" customWidth="1"/>
    <col min="110" max="110" width="5" customWidth="1"/>
    <col min="111" max="111" width="6.140625" customWidth="1"/>
    <col min="112" max="112" width="10" customWidth="1"/>
    <col min="113" max="113" width="5" customWidth="1"/>
    <col min="114" max="114" width="6.140625" customWidth="1"/>
    <col min="115" max="115" width="10" customWidth="1"/>
    <col min="116" max="116" width="5" customWidth="1"/>
    <col min="117" max="117" width="3.7109375" style="817" customWidth="1"/>
    <col min="118" max="118" width="9.85546875" customWidth="1"/>
    <col min="119" max="119" width="5.7109375" customWidth="1"/>
    <col min="120" max="120" width="5.5703125" customWidth="1"/>
    <col min="121" max="121" width="6.5703125" customWidth="1"/>
    <col min="122" max="122" width="6.140625" customWidth="1"/>
    <col min="123" max="123" width="10" customWidth="1"/>
    <col min="124" max="124" width="5" customWidth="1"/>
    <col min="125" max="125" width="6.140625" customWidth="1"/>
    <col min="126" max="126" width="10" customWidth="1"/>
    <col min="127" max="127" width="5" customWidth="1"/>
    <col min="128" max="128" width="6.140625" customWidth="1"/>
    <col min="129" max="129" width="10" customWidth="1"/>
    <col min="130" max="130" width="5.5703125" customWidth="1"/>
    <col min="131" max="131" width="3.7109375" style="817" customWidth="1"/>
    <col min="132" max="132" width="21.28515625" style="630" customWidth="1"/>
    <col min="133" max="133" width="9.140625" customWidth="1"/>
    <col min="134" max="134" width="5.28515625" customWidth="1"/>
    <col min="135" max="135" width="10.28515625" customWidth="1"/>
    <col min="136" max="136" width="6.140625" customWidth="1"/>
    <col min="137" max="137" width="10" customWidth="1"/>
    <col min="138" max="138" width="5" customWidth="1"/>
    <col min="139" max="139" width="6.140625" customWidth="1"/>
    <col min="140" max="140" width="10" customWidth="1"/>
    <col min="141" max="141" width="5" customWidth="1"/>
    <col min="142" max="142" width="6.140625" customWidth="1"/>
    <col min="143" max="143" width="10" customWidth="1"/>
    <col min="144" max="144" width="5" customWidth="1"/>
    <col min="145" max="145" width="3.7109375" style="817" customWidth="1"/>
    <col min="146" max="146" width="19.28515625" style="630" customWidth="1"/>
    <col min="147" max="147" width="6.140625" style="630" customWidth="1"/>
    <col min="148" max="148" width="10" style="630" customWidth="1"/>
    <col min="149" max="149" width="5" style="630" customWidth="1"/>
    <col min="150" max="150" width="6.140625" style="630" customWidth="1"/>
    <col min="151" max="151" width="10" style="630" customWidth="1"/>
    <col min="152" max="152" width="5" style="630" customWidth="1"/>
    <col min="153" max="153" width="6.140625" style="630" customWidth="1"/>
    <col min="154" max="154" width="10" style="630" customWidth="1"/>
    <col min="155" max="155" width="5" style="630" customWidth="1"/>
    <col min="156" max="156" width="3.7109375" style="817" customWidth="1"/>
    <col min="157" max="157" width="39.7109375" customWidth="1"/>
    <col min="158" max="159" width="11.140625" customWidth="1"/>
    <col min="160" max="160" width="5.7109375" customWidth="1"/>
    <col min="161" max="161" width="5.5703125" customWidth="1"/>
    <col min="162" max="162" width="3.7109375" style="817" customWidth="1"/>
    <col min="163" max="163" width="39" customWidth="1"/>
    <col min="164" max="164" width="6.140625" customWidth="1"/>
    <col min="165" max="165" width="10" customWidth="1"/>
    <col min="166" max="166" width="5" customWidth="1"/>
    <col min="167" max="167" width="6.140625" customWidth="1"/>
    <col min="168" max="168" width="10" customWidth="1"/>
    <col min="169" max="169" width="5" customWidth="1"/>
    <col min="170" max="170" width="6.140625" customWidth="1"/>
    <col min="171" max="171" width="10" customWidth="1"/>
    <col min="172" max="172" width="5" customWidth="1"/>
    <col min="173" max="173" width="3.7109375" style="817" customWidth="1"/>
    <col min="174" max="174" width="32.85546875" bestFit="1" customWidth="1"/>
    <col min="175" max="175" width="6.140625" customWidth="1"/>
    <col min="176" max="176" width="10" customWidth="1"/>
    <col min="177" max="177" width="5" customWidth="1"/>
    <col min="178" max="178" width="6.140625" customWidth="1"/>
    <col min="179" max="179" width="10" customWidth="1"/>
    <col min="180" max="180" width="5" customWidth="1"/>
    <col min="181" max="181" width="6.140625" customWidth="1"/>
    <col min="182" max="182" width="10" customWidth="1"/>
    <col min="183" max="183" width="5" customWidth="1"/>
    <col min="184" max="184" width="3.7109375" style="817" customWidth="1"/>
    <col min="185" max="185" width="20.140625" bestFit="1" customWidth="1"/>
    <col min="191" max="192" width="16.85546875" bestFit="1" customWidth="1"/>
    <col min="193" max="194" width="5" customWidth="1"/>
  </cols>
  <sheetData>
    <row r="1" spans="1:198" ht="12.75" customHeight="1" thickBot="1" x14ac:dyDescent="0.25">
      <c r="A1" s="827"/>
      <c r="C1" s="3478"/>
      <c r="D1" s="3479"/>
      <c r="E1" s="3479"/>
      <c r="F1" s="3479"/>
      <c r="G1" s="3480"/>
      <c r="I1" s="3485" t="str">
        <f ca="1">CELL("adresse",NPK_Organiques!AH39)</f>
        <v>'[Bilagreau7 exemple.xlsm]NPK_Organiques'!$AH$39</v>
      </c>
      <c r="J1" s="3486"/>
      <c r="K1" s="3486"/>
      <c r="L1" s="3486"/>
      <c r="M1" s="3486"/>
      <c r="N1" s="3486"/>
      <c r="O1" s="3486"/>
      <c r="P1" s="3486"/>
      <c r="Q1" s="3486"/>
      <c r="R1" s="3486"/>
      <c r="S1" s="3486"/>
      <c r="U1" s="3490" t="str">
        <f ca="1">CELL("adresse",Chargements!AA37)</f>
        <v>'[Bilagreau7 exemple.xlsm]Chargements'!$AA$37</v>
      </c>
      <c r="V1" s="3455"/>
      <c r="X1" s="3455" t="str">
        <f ca="1">CELL("adresse",Pressions_Prairies!AA21)</f>
        <v>'[Bilagreau7 exemple.xlsm]Pressions_Prairies'!$AA$21</v>
      </c>
      <c r="Y1" s="3455"/>
      <c r="Z1" s="3455"/>
      <c r="AA1" s="3455"/>
      <c r="AC1" s="3455" t="str">
        <f ca="1">CELL("adresse",Plan_Epandage!AD55)</f>
        <v>'[Bilagreau7 exemple.xlsm]Plan_Epandage'!$AD$55</v>
      </c>
      <c r="AD1" s="3455"/>
      <c r="AE1" s="3455"/>
      <c r="AF1" s="2103"/>
      <c r="AH1" s="3481"/>
      <c r="AI1" s="3481"/>
      <c r="AJ1" s="3481"/>
      <c r="AK1" s="3481"/>
      <c r="AL1" s="3481"/>
      <c r="AM1" s="3481"/>
      <c r="AN1" s="3481"/>
      <c r="AO1" s="3481"/>
      <c r="AQ1" s="1042" t="str">
        <f ca="1">CELL("adresse",Ferti_Cultures!BG1)</f>
        <v>'[Bilagreau7 exemple.xlsm]Ferti_Cultures'!$BG$1</v>
      </c>
      <c r="AR1" s="841" t="s">
        <v>24</v>
      </c>
      <c r="AS1" s="841"/>
      <c r="AT1" s="841"/>
      <c r="AU1" s="841"/>
      <c r="AV1" s="1990"/>
      <c r="AW1" s="1990"/>
      <c r="AX1" s="1990"/>
      <c r="AZ1" s="3464" t="str">
        <f ca="1">CELL("adresse",Autonomie!$AF$3)</f>
        <v>'[Bilagreau7 exemple.xlsm]Autonomie'!$AF$3</v>
      </c>
      <c r="BA1" s="3464"/>
      <c r="BB1" s="3464"/>
      <c r="BC1" s="3464"/>
      <c r="BD1" s="3464"/>
      <c r="BE1" s="3464"/>
      <c r="BF1" s="3464"/>
      <c r="BG1" s="3464"/>
      <c r="BI1" s="3465" t="str">
        <f ca="1">CELL("adresse",Achats!AG5)</f>
        <v>'[Bilagreau7 exemple.xlsm]Achats'!$AG$5</v>
      </c>
      <c r="BJ1" s="3465"/>
      <c r="BK1" s="3465"/>
      <c r="BL1" s="3465"/>
      <c r="BM1" s="3465"/>
      <c r="BO1" s="3466" t="s">
        <v>1385</v>
      </c>
      <c r="BP1" s="3466"/>
      <c r="BQ1" s="3466"/>
      <c r="BR1" s="3466"/>
      <c r="BT1" s="3466" t="s">
        <v>1930</v>
      </c>
      <c r="BU1" s="3466"/>
      <c r="BV1" s="3466"/>
      <c r="BW1" s="3466"/>
      <c r="BX1" s="3466"/>
      <c r="BY1" s="3466"/>
      <c r="CA1" s="3486" t="str">
        <f ca="1">CELL("adresse",VLCalendrier!D25)</f>
        <v>'[Bilagreau7 exemple.xlsm]VLCalendrier'!$D$25</v>
      </c>
      <c r="CB1" s="3486"/>
      <c r="CC1" s="3486"/>
      <c r="CD1" s="3486"/>
      <c r="CE1" s="3486"/>
      <c r="CF1" s="3486"/>
      <c r="CG1" s="3486"/>
      <c r="CH1" s="3486"/>
      <c r="CI1" s="3486"/>
      <c r="CJ1" s="3486"/>
      <c r="CK1" s="3486"/>
      <c r="CL1" s="3486"/>
      <c r="CM1" s="3486"/>
      <c r="CO1" s="3455" t="str">
        <f ca="1">CELL("adresse",VLPartPaturage!O26)</f>
        <v>'[Bilagreau7 exemple.xlsm]VLPartPaturage'!$O$26</v>
      </c>
      <c r="CP1" s="3455"/>
      <c r="CR1" s="3486" t="str">
        <f ca="1">CELL("adresse",GénissesLaitières!B23)</f>
        <v>'[Bilagreau7 exemple.xlsm]GénissesLaitières'!$B$23</v>
      </c>
      <c r="CS1" s="3486"/>
      <c r="CT1" s="3486"/>
      <c r="CU1" s="3486"/>
      <c r="CV1" s="3486"/>
      <c r="CW1" s="3486"/>
      <c r="CX1" s="3486"/>
      <c r="CY1" s="3486"/>
      <c r="CZ1" s="3486"/>
      <c r="DA1" s="3486"/>
      <c r="DB1" s="3486"/>
      <c r="DC1" s="3486"/>
      <c r="DD1" s="3486"/>
      <c r="DE1" s="3486"/>
      <c r="DF1" s="3486"/>
      <c r="DG1" s="3486"/>
      <c r="DH1" s="3486"/>
      <c r="DI1" s="3486"/>
      <c r="DJ1" s="3486"/>
      <c r="DK1" s="3486"/>
      <c r="DL1" s="3486"/>
      <c r="DN1" s="3486" t="str">
        <f ca="1">CELL("adresse",Allaitant!E25)</f>
        <v>'[Bilagreau7 exemple.xlsm]Allaitant'!$E$25</v>
      </c>
      <c r="DO1" s="3486"/>
      <c r="DP1" s="3486"/>
      <c r="DQ1" s="3486"/>
      <c r="DR1" s="3486"/>
      <c r="DS1" s="3486"/>
      <c r="DT1" s="3486"/>
      <c r="DU1" s="3486"/>
      <c r="DV1" s="3486"/>
      <c r="DW1" s="3486"/>
      <c r="DX1" s="3486"/>
      <c r="DY1" s="3486"/>
      <c r="DZ1" s="3486"/>
      <c r="EB1" s="3488" t="str">
        <f ca="1">CELL("adresse",Engraissement!E31)</f>
        <v>'[Bilagreau7 exemple.xlsm]Engraissement'!$E$31</v>
      </c>
      <c r="EC1" s="3488"/>
      <c r="ED1" s="3488"/>
      <c r="EE1" s="3488"/>
      <c r="EF1" s="3488"/>
      <c r="EG1" s="3488"/>
      <c r="EH1" s="3488"/>
      <c r="EI1" s="3488"/>
      <c r="EJ1" s="3488"/>
      <c r="EK1" s="3488"/>
      <c r="EL1" s="3488"/>
      <c r="EM1" s="3488"/>
      <c r="EN1" s="3488"/>
      <c r="EP1" s="3488" t="str">
        <f ca="1">CELL("adresse",VeauBoucherie!N13)</f>
        <v>'[Bilagreau7 exemple.xlsm]VeauBoucherie'!$N$13</v>
      </c>
      <c r="EQ1" s="3488"/>
      <c r="ER1" s="3488"/>
      <c r="ES1" s="3488"/>
      <c r="ET1" s="3488"/>
      <c r="EU1" s="3488"/>
      <c r="EV1" s="3488"/>
      <c r="EW1" s="3488"/>
      <c r="EX1" s="3488"/>
      <c r="EY1" s="3488"/>
      <c r="FA1" s="3488" t="str">
        <f ca="1">CELL("adresse",Porcs!M13)</f>
        <v>'[Bilagreau7 exemple.xlsm]Porcs'!$M$13</v>
      </c>
      <c r="FB1" s="3488"/>
      <c r="FC1" s="3488"/>
      <c r="FD1" s="3488"/>
      <c r="FE1" s="3488"/>
      <c r="FG1" s="3488" t="str">
        <f ca="1">CELL("adresse",Volailles!M67)</f>
        <v>'[Bilagreau7 exemple.xlsm]Volailles'!$M$67</v>
      </c>
      <c r="FH1" s="3488"/>
      <c r="FI1" s="3488"/>
      <c r="FJ1" s="3488"/>
      <c r="FK1" s="3488"/>
      <c r="FL1" s="3488"/>
      <c r="FM1" s="3488"/>
      <c r="FN1" s="3488"/>
      <c r="FO1" s="3488"/>
      <c r="FP1" s="3488"/>
      <c r="FR1" s="3488" t="str">
        <f ca="1">CELL("adresse",Lapins!M16)</f>
        <v>'[Bilagreau7 exemple.xlsm]Lapins'!$M$16</v>
      </c>
      <c r="FS1" s="3488"/>
      <c r="FT1" s="3488"/>
      <c r="FU1" s="3488"/>
      <c r="FV1" s="3488"/>
      <c r="FW1" s="3488"/>
      <c r="FX1" s="3488"/>
      <c r="FY1" s="3488"/>
      <c r="FZ1" s="3488"/>
      <c r="GA1" s="3488"/>
    </row>
    <row r="2" spans="1:198" ht="12.75" customHeight="1" thickTop="1" thickBot="1" x14ac:dyDescent="0.25">
      <c r="A2" s="827" t="s">
        <v>671</v>
      </c>
      <c r="C2" s="1129" t="e">
        <f ca="1">CELL("adresse",SA_CoefSPE)</f>
        <v>#NAME?</v>
      </c>
      <c r="D2" s="1132" t="s">
        <v>157</v>
      </c>
      <c r="E2" s="1133">
        <v>0.75</v>
      </c>
      <c r="F2" s="1133">
        <v>0.7</v>
      </c>
      <c r="G2" s="1134">
        <v>0.8</v>
      </c>
      <c r="I2" s="841" t="s">
        <v>1984</v>
      </c>
      <c r="J2" s="841"/>
      <c r="K2" s="841"/>
      <c r="L2" s="841"/>
      <c r="M2" s="841"/>
      <c r="N2" s="841"/>
      <c r="O2" s="841"/>
      <c r="P2" s="841"/>
      <c r="Q2" s="841"/>
      <c r="R2" s="841"/>
      <c r="S2" s="841"/>
      <c r="U2" s="3489" t="s">
        <v>842</v>
      </c>
      <c r="X2" s="3493" t="s">
        <v>8</v>
      </c>
      <c r="Y2" s="621" t="s">
        <v>186</v>
      </c>
      <c r="Z2" s="621" t="s">
        <v>187</v>
      </c>
      <c r="AA2" s="760" t="s">
        <v>665</v>
      </c>
      <c r="AC2" s="1272" t="s">
        <v>678</v>
      </c>
      <c r="AD2" s="841"/>
      <c r="AE2" t="s">
        <v>671</v>
      </c>
      <c r="AH2" s="2104" t="str">
        <f ca="1">CELL("adresse",Ferti_Prairies!AA8)</f>
        <v>'[Bilagreau7 exemple.xlsm]Ferti_Prairies'!$AA$8</v>
      </c>
      <c r="AI2" s="605"/>
      <c r="AJ2" s="621" t="s">
        <v>625</v>
      </c>
      <c r="AK2" s="621" t="s">
        <v>187</v>
      </c>
      <c r="AL2" s="760" t="s">
        <v>665</v>
      </c>
      <c r="AQ2" s="1110" t="s">
        <v>25</v>
      </c>
      <c r="BI2" s="827" t="s">
        <v>63</v>
      </c>
      <c r="BJ2" s="1496" t="s">
        <v>1172</v>
      </c>
      <c r="BK2" s="1496" t="s">
        <v>1173</v>
      </c>
      <c r="BL2" s="1496" t="s">
        <v>1373</v>
      </c>
      <c r="BM2" s="1955" t="s">
        <v>1898</v>
      </c>
      <c r="BO2" s="1442"/>
      <c r="BQ2" s="1685" t="s">
        <v>219</v>
      </c>
      <c r="BR2" s="1685" t="s">
        <v>625</v>
      </c>
      <c r="CC2" s="841" t="s">
        <v>19</v>
      </c>
      <c r="CD2" s="841"/>
      <c r="CE2" s="841"/>
      <c r="CF2" s="841"/>
      <c r="CG2" s="841"/>
      <c r="CH2" s="841"/>
      <c r="CI2" s="841"/>
      <c r="CJ2" s="841"/>
      <c r="CK2" s="841"/>
      <c r="CM2" t="s">
        <v>671</v>
      </c>
      <c r="CP2" s="1339"/>
      <c r="CU2" s="841" t="s">
        <v>124</v>
      </c>
      <c r="CV2" s="841"/>
      <c r="CW2" s="841"/>
      <c r="CX2" s="841"/>
      <c r="CY2" s="841"/>
      <c r="DR2" s="3435" t="s">
        <v>346</v>
      </c>
      <c r="DS2" s="3436"/>
      <c r="DT2" s="3436"/>
      <c r="DU2" s="3436"/>
      <c r="DV2" s="3436"/>
      <c r="DW2" s="3436"/>
      <c r="DX2" s="3436"/>
      <c r="DY2" s="3436"/>
      <c r="DZ2" s="3437"/>
      <c r="EC2" s="32"/>
      <c r="ED2" s="32"/>
      <c r="EE2" s="32"/>
      <c r="EF2" s="3435" t="s">
        <v>346</v>
      </c>
      <c r="EG2" s="3436"/>
      <c r="EH2" s="3436"/>
      <c r="EI2" s="3436"/>
      <c r="EJ2" s="3436"/>
      <c r="EK2" s="3436"/>
      <c r="EL2" s="3436"/>
      <c r="EM2" s="3436"/>
      <c r="EN2" s="3437"/>
      <c r="FB2" s="1340" t="s">
        <v>186</v>
      </c>
      <c r="FC2" s="1340" t="s">
        <v>186</v>
      </c>
      <c r="FD2" s="1340" t="s">
        <v>187</v>
      </c>
      <c r="FE2" s="1340" t="s">
        <v>665</v>
      </c>
      <c r="FI2" s="1554" t="s">
        <v>1469</v>
      </c>
      <c r="FJ2" s="841"/>
      <c r="FK2" s="841"/>
      <c r="FL2" s="841"/>
      <c r="FT2" s="841" t="s">
        <v>558</v>
      </c>
      <c r="FU2" s="841"/>
      <c r="FV2" s="841"/>
      <c r="FW2" s="841"/>
      <c r="FX2" s="841"/>
      <c r="FY2" s="841"/>
      <c r="FZ2" s="841"/>
      <c r="GA2" s="630"/>
    </row>
    <row r="3" spans="1:198" ht="12.75" customHeight="1" thickTop="1" x14ac:dyDescent="0.2">
      <c r="C3" s="1039"/>
      <c r="K3" s="850" t="s">
        <v>430</v>
      </c>
      <c r="U3" s="3489"/>
      <c r="X3" s="3494"/>
      <c r="Y3" s="935">
        <v>0.25</v>
      </c>
      <c r="Z3" s="935">
        <v>0.85</v>
      </c>
      <c r="AA3" s="937">
        <v>1</v>
      </c>
      <c r="AD3" s="1265" t="s">
        <v>679</v>
      </c>
      <c r="AE3" s="953">
        <v>70</v>
      </c>
      <c r="AH3" s="3489" t="s">
        <v>12</v>
      </c>
      <c r="AI3" s="605" t="s">
        <v>828</v>
      </c>
      <c r="AJ3" s="938">
        <v>30</v>
      </c>
      <c r="AK3" s="938">
        <v>8</v>
      </c>
      <c r="AL3" s="939">
        <v>45</v>
      </c>
      <c r="AQ3" s="1110" t="s">
        <v>26</v>
      </c>
      <c r="BD3" s="763" t="s">
        <v>219</v>
      </c>
      <c r="BE3" s="763" t="s">
        <v>625</v>
      </c>
      <c r="BF3" s="763" t="s">
        <v>187</v>
      </c>
      <c r="BG3" s="1936" t="s">
        <v>665</v>
      </c>
      <c r="BI3" t="s">
        <v>1166</v>
      </c>
      <c r="BJ3" s="1527">
        <v>650</v>
      </c>
      <c r="BK3" s="1527">
        <v>19</v>
      </c>
      <c r="BL3" s="1527">
        <v>6</v>
      </c>
      <c r="BM3" s="1527">
        <v>20</v>
      </c>
      <c r="BO3" s="1442" t="s">
        <v>1384</v>
      </c>
      <c r="BP3">
        <v>1</v>
      </c>
      <c r="BQ3" s="1689">
        <v>0.83</v>
      </c>
      <c r="BR3" s="1689">
        <v>1.2E-2</v>
      </c>
      <c r="BV3" s="3463" t="s">
        <v>1894</v>
      </c>
      <c r="BW3" s="3463"/>
      <c r="BX3" s="3463"/>
      <c r="BY3" s="1984"/>
      <c r="CA3" s="3423" t="s">
        <v>184</v>
      </c>
      <c r="CB3" s="3424"/>
      <c r="CC3" s="3424"/>
      <c r="CD3" s="3424"/>
      <c r="CE3" s="3425"/>
      <c r="CF3" s="3423" t="s">
        <v>188</v>
      </c>
      <c r="CG3" s="3424"/>
      <c r="CH3" s="3424"/>
      <c r="CI3" s="3424"/>
      <c r="CJ3" s="3424"/>
      <c r="CK3" s="3424"/>
      <c r="CL3" s="3424"/>
      <c r="CM3" s="3425"/>
      <c r="CO3" s="3498" t="s">
        <v>153</v>
      </c>
      <c r="CP3" s="3499" t="s">
        <v>155</v>
      </c>
      <c r="CR3" s="32"/>
      <c r="CS3" s="32"/>
      <c r="CT3" s="32"/>
      <c r="CU3" s="3435" t="s">
        <v>260</v>
      </c>
      <c r="CV3" s="3436"/>
      <c r="CW3" s="3436"/>
      <c r="CX3" s="3436"/>
      <c r="CY3" s="3436"/>
      <c r="CZ3" s="3436"/>
      <c r="DA3" s="3436"/>
      <c r="DB3" s="3436"/>
      <c r="DC3" s="3437"/>
      <c r="DD3" s="3435" t="s">
        <v>262</v>
      </c>
      <c r="DE3" s="3436"/>
      <c r="DF3" s="3436"/>
      <c r="DG3" s="3436"/>
      <c r="DH3" s="3436"/>
      <c r="DI3" s="3436"/>
      <c r="DJ3" s="3436"/>
      <c r="DK3" s="3436"/>
      <c r="DL3" s="3437"/>
      <c r="DN3" s="841" t="s">
        <v>39</v>
      </c>
      <c r="DO3" s="1135"/>
      <c r="DP3" s="1135"/>
      <c r="DQ3" s="1135"/>
      <c r="DR3" s="3441" t="s">
        <v>256</v>
      </c>
      <c r="DS3" s="3430"/>
      <c r="DT3" s="3431"/>
      <c r="DU3" s="3429" t="s">
        <v>257</v>
      </c>
      <c r="DV3" s="3430"/>
      <c r="DW3" s="3431"/>
      <c r="DX3" s="3430" t="s">
        <v>756</v>
      </c>
      <c r="DY3" s="3430"/>
      <c r="DZ3" s="3434"/>
      <c r="EB3" s="841" t="s">
        <v>21</v>
      </c>
      <c r="EC3" s="1135"/>
      <c r="ED3" s="32"/>
      <c r="EE3" s="32"/>
      <c r="EF3" s="3441" t="s">
        <v>256</v>
      </c>
      <c r="EG3" s="3430"/>
      <c r="EH3" s="3430"/>
      <c r="EI3" s="3429" t="s">
        <v>257</v>
      </c>
      <c r="EJ3" s="3430"/>
      <c r="EK3" s="3431"/>
      <c r="EL3" s="3430" t="s">
        <v>756</v>
      </c>
      <c r="EM3" s="3430"/>
      <c r="EN3" s="3434"/>
      <c r="EP3" s="596"/>
      <c r="EQ3" s="3450" t="s">
        <v>256</v>
      </c>
      <c r="ER3" s="3451"/>
      <c r="ES3" s="3453"/>
      <c r="ET3" s="3452" t="s">
        <v>257</v>
      </c>
      <c r="EU3" s="3451"/>
      <c r="EV3" s="3453"/>
      <c r="EW3" s="3452" t="s">
        <v>756</v>
      </c>
      <c r="EX3" s="3451"/>
      <c r="EY3" s="3454"/>
      <c r="FB3" s="1340" t="s">
        <v>1007</v>
      </c>
      <c r="FC3" s="1340" t="s">
        <v>1006</v>
      </c>
      <c r="FD3" s="1340"/>
      <c r="FE3" s="1340"/>
      <c r="FG3" s="32"/>
      <c r="FH3" s="3450" t="s">
        <v>256</v>
      </c>
      <c r="FI3" s="3451"/>
      <c r="FJ3" s="3453"/>
      <c r="FK3" s="3452" t="s">
        <v>257</v>
      </c>
      <c r="FL3" s="3451"/>
      <c r="FM3" s="3453"/>
      <c r="FN3" s="3452" t="s">
        <v>756</v>
      </c>
      <c r="FO3" s="3451"/>
      <c r="FP3" s="3454"/>
      <c r="FR3" s="32"/>
      <c r="FS3" s="3450" t="s">
        <v>256</v>
      </c>
      <c r="FT3" s="3451"/>
      <c r="FU3" s="3453"/>
      <c r="FV3" s="3452" t="s">
        <v>257</v>
      </c>
      <c r="FW3" s="3451"/>
      <c r="FX3" s="3453"/>
      <c r="FY3" s="3452" t="s">
        <v>756</v>
      </c>
      <c r="FZ3" s="3451"/>
      <c r="GA3" s="3454"/>
    </row>
    <row r="4" spans="1:198" ht="12.75" customHeight="1" x14ac:dyDescent="0.2">
      <c r="G4" s="605"/>
      <c r="H4" s="818"/>
      <c r="J4" s="2004" t="s">
        <v>1021</v>
      </c>
      <c r="K4" s="24">
        <v>6000</v>
      </c>
      <c r="L4" s="25">
        <f>K4</f>
        <v>6000</v>
      </c>
      <c r="M4" s="26">
        <f>K4</f>
        <v>6000</v>
      </c>
      <c r="N4" s="2005" t="s">
        <v>1024</v>
      </c>
      <c r="O4" s="25" t="str">
        <f>N4</f>
        <v>6000-8000</v>
      </c>
      <c r="P4" s="26" t="str">
        <f>N4</f>
        <v>6000-8000</v>
      </c>
      <c r="Q4" s="24">
        <v>8000</v>
      </c>
      <c r="R4" s="25">
        <f>Q4</f>
        <v>8000</v>
      </c>
      <c r="S4" s="26">
        <f>Q4</f>
        <v>8000</v>
      </c>
      <c r="T4" s="818"/>
      <c r="U4" s="1519" t="s">
        <v>1317</v>
      </c>
      <c r="V4" s="1689">
        <v>950</v>
      </c>
      <c r="AD4" s="1265" t="s">
        <v>680</v>
      </c>
      <c r="AE4" s="953">
        <v>80</v>
      </c>
      <c r="AH4" s="3489"/>
      <c r="AI4" s="605" t="s">
        <v>829</v>
      </c>
      <c r="AJ4" s="938">
        <v>27</v>
      </c>
      <c r="AK4" s="938">
        <v>8</v>
      </c>
      <c r="AL4" s="939">
        <v>35</v>
      </c>
      <c r="AQ4" s="1110" t="s">
        <v>27</v>
      </c>
      <c r="AZ4" s="850" t="s">
        <v>50</v>
      </c>
      <c r="BA4" s="850"/>
      <c r="BB4" s="850"/>
      <c r="BD4" s="763"/>
      <c r="BE4" s="763"/>
      <c r="BF4" s="763"/>
      <c r="BG4" s="1936"/>
      <c r="BI4" t="s">
        <v>182</v>
      </c>
      <c r="BJ4" s="1527">
        <v>700</v>
      </c>
      <c r="BK4" s="1527">
        <v>24</v>
      </c>
      <c r="BL4" s="1527">
        <v>7</v>
      </c>
      <c r="BM4" s="1527">
        <v>30</v>
      </c>
      <c r="BO4" s="1442" t="s">
        <v>370</v>
      </c>
      <c r="BP4">
        <v>2</v>
      </c>
      <c r="BQ4" s="1689">
        <v>0.7</v>
      </c>
      <c r="BR4" s="1689">
        <v>2.5999999999999999E-2</v>
      </c>
      <c r="BU4" s="850" t="s">
        <v>1824</v>
      </c>
      <c r="BV4" s="1959" t="s">
        <v>625</v>
      </c>
      <c r="BW4" s="1959" t="s">
        <v>187</v>
      </c>
      <c r="BX4" s="1959" t="s">
        <v>665</v>
      </c>
      <c r="BY4" s="1959"/>
      <c r="CA4" s="3426" t="s">
        <v>181</v>
      </c>
      <c r="CB4" s="3427"/>
      <c r="CC4" s="3426" t="s">
        <v>339</v>
      </c>
      <c r="CD4" s="3428"/>
      <c r="CE4" s="3427"/>
      <c r="CF4" s="3426" t="s">
        <v>181</v>
      </c>
      <c r="CG4" s="3427" t="s">
        <v>189</v>
      </c>
      <c r="CH4" s="3426" t="s">
        <v>190</v>
      </c>
      <c r="CI4" s="3428"/>
      <c r="CJ4" s="3427"/>
      <c r="CK4" s="3426" t="s">
        <v>339</v>
      </c>
      <c r="CL4" s="3428"/>
      <c r="CM4" s="3427"/>
      <c r="CO4" s="3498"/>
      <c r="CP4" s="3499"/>
      <c r="CR4" s="32"/>
      <c r="CS4" s="32"/>
      <c r="CT4" s="32"/>
      <c r="CU4" s="3438" t="s">
        <v>261</v>
      </c>
      <c r="CV4" s="3439"/>
      <c r="CW4" s="3439"/>
      <c r="CX4" s="3439"/>
      <c r="CY4" s="3439"/>
      <c r="CZ4" s="3439"/>
      <c r="DA4" s="3439"/>
      <c r="DB4" s="3439"/>
      <c r="DC4" s="3440"/>
      <c r="DD4" s="3438" t="s">
        <v>263</v>
      </c>
      <c r="DE4" s="3439"/>
      <c r="DF4" s="3439"/>
      <c r="DG4" s="3439"/>
      <c r="DH4" s="3439"/>
      <c r="DI4" s="3439"/>
      <c r="DJ4" s="3439"/>
      <c r="DK4" s="3439"/>
      <c r="DL4" s="3440"/>
      <c r="DN4" s="3491" t="s">
        <v>346</v>
      </c>
      <c r="DO4" s="50" t="s">
        <v>353</v>
      </c>
      <c r="DP4" s="50" t="s">
        <v>355</v>
      </c>
      <c r="DQ4" s="50" t="s">
        <v>344</v>
      </c>
      <c r="DR4" s="110" t="s">
        <v>249</v>
      </c>
      <c r="DS4" s="36" t="s">
        <v>247</v>
      </c>
      <c r="DT4" s="36"/>
      <c r="DU4" s="35" t="s">
        <v>249</v>
      </c>
      <c r="DV4" s="36" t="s">
        <v>247</v>
      </c>
      <c r="DW4" s="37"/>
      <c r="DX4" s="36" t="s">
        <v>249</v>
      </c>
      <c r="DY4" s="36" t="s">
        <v>247</v>
      </c>
      <c r="DZ4" s="109"/>
      <c r="EB4" s="1156" t="s">
        <v>346</v>
      </c>
      <c r="EC4" s="50" t="s">
        <v>353</v>
      </c>
      <c r="ED4" s="50" t="s">
        <v>381</v>
      </c>
      <c r="EE4" s="107" t="s">
        <v>384</v>
      </c>
      <c r="EF4" s="108" t="s">
        <v>249</v>
      </c>
      <c r="EG4" s="36" t="s">
        <v>247</v>
      </c>
      <c r="EH4" s="36"/>
      <c r="EI4" s="35" t="s">
        <v>249</v>
      </c>
      <c r="EJ4" s="36" t="s">
        <v>247</v>
      </c>
      <c r="EK4" s="37"/>
      <c r="EL4" s="36" t="s">
        <v>249</v>
      </c>
      <c r="EM4" s="36" t="s">
        <v>247</v>
      </c>
      <c r="EN4" s="109"/>
      <c r="EP4" s="32"/>
      <c r="EQ4" s="110" t="s">
        <v>249</v>
      </c>
      <c r="ER4" s="36" t="s">
        <v>247</v>
      </c>
      <c r="ES4" s="36"/>
      <c r="ET4" s="35" t="s">
        <v>249</v>
      </c>
      <c r="EU4" s="36" t="s">
        <v>247</v>
      </c>
      <c r="EV4" s="37"/>
      <c r="EW4" s="35" t="s">
        <v>249</v>
      </c>
      <c r="EX4" s="36" t="s">
        <v>247</v>
      </c>
      <c r="EY4" s="109"/>
      <c r="FA4" s="1363" t="s">
        <v>1000</v>
      </c>
      <c r="FB4" s="1362" t="s">
        <v>1008</v>
      </c>
      <c r="FC4" s="1362" t="s">
        <v>1008</v>
      </c>
      <c r="FD4" s="1362"/>
      <c r="FE4" s="1362"/>
      <c r="FG4" s="32"/>
      <c r="FH4" s="110" t="s">
        <v>249</v>
      </c>
      <c r="FI4" s="36" t="s">
        <v>247</v>
      </c>
      <c r="FJ4" s="36"/>
      <c r="FK4" s="35" t="s">
        <v>249</v>
      </c>
      <c r="FL4" s="36" t="s">
        <v>247</v>
      </c>
      <c r="FM4" s="37"/>
      <c r="FN4" s="35" t="s">
        <v>249</v>
      </c>
      <c r="FO4" s="36" t="s">
        <v>247</v>
      </c>
      <c r="FP4" s="109"/>
      <c r="FR4" s="32"/>
      <c r="FS4" s="110" t="s">
        <v>249</v>
      </c>
      <c r="FT4" s="36" t="s">
        <v>247</v>
      </c>
      <c r="FU4" s="36"/>
      <c r="FV4" s="35" t="s">
        <v>249</v>
      </c>
      <c r="FW4" s="36" t="s">
        <v>247</v>
      </c>
      <c r="FX4" s="37"/>
      <c r="FY4" s="35" t="s">
        <v>249</v>
      </c>
      <c r="FZ4" s="36" t="s">
        <v>247</v>
      </c>
      <c r="GA4" s="109"/>
    </row>
    <row r="5" spans="1:198" ht="12.75" customHeight="1" thickBot="1" x14ac:dyDescent="0.25">
      <c r="A5" t="s">
        <v>671</v>
      </c>
      <c r="C5" s="1129" t="e">
        <f ca="1">CELL("adresse",SA_CoefSPE)</f>
        <v>#NAME?</v>
      </c>
      <c r="D5" s="1132" t="s">
        <v>43</v>
      </c>
      <c r="E5" s="1134">
        <v>0.7</v>
      </c>
      <c r="G5" s="605"/>
      <c r="H5" s="818"/>
      <c r="J5" s="2004" t="s">
        <v>1022</v>
      </c>
      <c r="K5" s="1407">
        <v>4</v>
      </c>
      <c r="L5" s="2006" t="s">
        <v>1023</v>
      </c>
      <c r="M5" s="1408">
        <v>7</v>
      </c>
      <c r="N5" s="1406">
        <f>K5</f>
        <v>4</v>
      </c>
      <c r="O5" s="1406" t="str">
        <f>L5</f>
        <v>4-7</v>
      </c>
      <c r="P5" s="1406">
        <f>M5</f>
        <v>7</v>
      </c>
      <c r="Q5" s="1407">
        <f>K5</f>
        <v>4</v>
      </c>
      <c r="R5" s="1406" t="str">
        <f>L5</f>
        <v>4-7</v>
      </c>
      <c r="S5" s="1408">
        <f>M5</f>
        <v>7</v>
      </c>
      <c r="T5" s="818"/>
      <c r="U5" s="1519" t="s">
        <v>1318</v>
      </c>
      <c r="V5" s="1106">
        <v>600</v>
      </c>
      <c r="AD5" s="1265" t="s">
        <v>681</v>
      </c>
      <c r="AE5" s="953">
        <v>75</v>
      </c>
      <c r="AH5" s="605"/>
      <c r="AI5" s="605" t="s">
        <v>830</v>
      </c>
      <c r="AJ5" s="938">
        <v>25</v>
      </c>
      <c r="AK5" s="938">
        <v>7</v>
      </c>
      <c r="AL5" s="939">
        <v>30</v>
      </c>
      <c r="AQ5" s="1110" t="s">
        <v>28</v>
      </c>
      <c r="AS5" s="3459" t="s">
        <v>1980</v>
      </c>
      <c r="AT5" s="3460"/>
      <c r="AU5" s="3461"/>
      <c r="AV5" s="3459" t="s">
        <v>1981</v>
      </c>
      <c r="AW5" s="3462"/>
      <c r="AX5" s="3462"/>
      <c r="AZ5" s="1281"/>
      <c r="BA5" s="1281"/>
      <c r="BB5" s="1281" t="s">
        <v>214</v>
      </c>
      <c r="BI5" t="s">
        <v>1167</v>
      </c>
      <c r="BJ5" s="1527">
        <v>850</v>
      </c>
      <c r="BK5" s="1527">
        <v>13</v>
      </c>
      <c r="BL5" s="1527">
        <v>5</v>
      </c>
      <c r="BM5" s="1527">
        <v>12</v>
      </c>
      <c r="BU5" s="630" t="s">
        <v>1825</v>
      </c>
      <c r="BV5" s="1961">
        <f>10*16.5/6.25</f>
        <v>26.4</v>
      </c>
      <c r="BW5" s="1962">
        <f>10*0.6*2.29</f>
        <v>13.74</v>
      </c>
      <c r="BX5" s="1962">
        <v>10</v>
      </c>
      <c r="BY5"/>
      <c r="CA5" s="38" t="s">
        <v>182</v>
      </c>
      <c r="CB5" s="40" t="s">
        <v>183</v>
      </c>
      <c r="CC5" s="38" t="s">
        <v>186</v>
      </c>
      <c r="CD5" s="39" t="s">
        <v>187</v>
      </c>
      <c r="CE5" s="40" t="s">
        <v>665</v>
      </c>
      <c r="CF5" s="38" t="s">
        <v>163</v>
      </c>
      <c r="CG5" s="40" t="s">
        <v>189</v>
      </c>
      <c r="CH5" s="38" t="s">
        <v>186</v>
      </c>
      <c r="CI5" s="39" t="s">
        <v>187</v>
      </c>
      <c r="CJ5" s="40" t="s">
        <v>665</v>
      </c>
      <c r="CK5" s="38" t="s">
        <v>186</v>
      </c>
      <c r="CL5" s="39" t="s">
        <v>187</v>
      </c>
      <c r="CM5" s="40" t="s">
        <v>665</v>
      </c>
      <c r="CO5" s="3498"/>
      <c r="CP5" s="1342" t="s">
        <v>154</v>
      </c>
      <c r="CR5" s="32"/>
      <c r="CS5" s="32"/>
      <c r="CT5" s="32"/>
      <c r="CU5" s="3441" t="s">
        <v>256</v>
      </c>
      <c r="CV5" s="3430"/>
      <c r="CW5" s="3431"/>
      <c r="CX5" s="3429" t="s">
        <v>257</v>
      </c>
      <c r="CY5" s="3430"/>
      <c r="CZ5" s="3430"/>
      <c r="DA5" s="3429" t="s">
        <v>756</v>
      </c>
      <c r="DB5" s="3430"/>
      <c r="DC5" s="3434"/>
      <c r="DD5" s="3441" t="s">
        <v>256</v>
      </c>
      <c r="DE5" s="3430"/>
      <c r="DF5" s="3431"/>
      <c r="DG5" s="3429" t="s">
        <v>257</v>
      </c>
      <c r="DH5" s="3430"/>
      <c r="DI5" s="3430"/>
      <c r="DJ5" s="3429" t="s">
        <v>756</v>
      </c>
      <c r="DK5" s="3430"/>
      <c r="DL5" s="3434"/>
      <c r="DN5" s="3492"/>
      <c r="DO5" s="177" t="s">
        <v>354</v>
      </c>
      <c r="DP5" s="176" t="s">
        <v>356</v>
      </c>
      <c r="DQ5" s="51" t="s">
        <v>343</v>
      </c>
      <c r="DR5" s="110" t="s">
        <v>248</v>
      </c>
      <c r="DS5" s="36" t="s">
        <v>246</v>
      </c>
      <c r="DT5" s="36" t="s">
        <v>244</v>
      </c>
      <c r="DU5" s="35" t="s">
        <v>248</v>
      </c>
      <c r="DV5" s="36" t="s">
        <v>246</v>
      </c>
      <c r="DW5" s="37" t="s">
        <v>244</v>
      </c>
      <c r="DX5" s="36" t="s">
        <v>248</v>
      </c>
      <c r="DY5" s="36" t="s">
        <v>246</v>
      </c>
      <c r="DZ5" s="109" t="s">
        <v>244</v>
      </c>
      <c r="EB5" s="68"/>
      <c r="EC5" s="51" t="s">
        <v>354</v>
      </c>
      <c r="ED5" s="51" t="s">
        <v>382</v>
      </c>
      <c r="EE5" s="111" t="s">
        <v>385</v>
      </c>
      <c r="EF5" s="36" t="s">
        <v>248</v>
      </c>
      <c r="EG5" s="36" t="s">
        <v>246</v>
      </c>
      <c r="EH5" s="36" t="s">
        <v>244</v>
      </c>
      <c r="EI5" s="35" t="s">
        <v>248</v>
      </c>
      <c r="EJ5" s="36" t="s">
        <v>246</v>
      </c>
      <c r="EK5" s="37" t="s">
        <v>244</v>
      </c>
      <c r="EL5" s="36" t="s">
        <v>248</v>
      </c>
      <c r="EM5" s="36" t="s">
        <v>246</v>
      </c>
      <c r="EN5" s="109" t="s">
        <v>244</v>
      </c>
      <c r="EP5" s="32"/>
      <c r="EQ5" s="526" t="s">
        <v>248</v>
      </c>
      <c r="ER5" s="463" t="s">
        <v>246</v>
      </c>
      <c r="ES5" s="463" t="s">
        <v>244</v>
      </c>
      <c r="ET5" s="683" t="s">
        <v>248</v>
      </c>
      <c r="EU5" s="463" t="s">
        <v>246</v>
      </c>
      <c r="EV5" s="684" t="s">
        <v>244</v>
      </c>
      <c r="EW5" s="683" t="s">
        <v>248</v>
      </c>
      <c r="EX5" s="463" t="s">
        <v>246</v>
      </c>
      <c r="EY5" s="685" t="s">
        <v>244</v>
      </c>
      <c r="FA5" s="1364" t="s">
        <v>999</v>
      </c>
      <c r="FG5" s="32"/>
      <c r="FH5" s="526" t="s">
        <v>248</v>
      </c>
      <c r="FI5" s="463" t="s">
        <v>246</v>
      </c>
      <c r="FJ5" s="463" t="s">
        <v>244</v>
      </c>
      <c r="FK5" s="683" t="s">
        <v>248</v>
      </c>
      <c r="FL5" s="463" t="s">
        <v>246</v>
      </c>
      <c r="FM5" s="684" t="s">
        <v>244</v>
      </c>
      <c r="FN5" s="683" t="s">
        <v>248</v>
      </c>
      <c r="FO5" s="463" t="s">
        <v>246</v>
      </c>
      <c r="FP5" s="685" t="s">
        <v>244</v>
      </c>
      <c r="FR5" s="32"/>
      <c r="FS5" s="112" t="s">
        <v>248</v>
      </c>
      <c r="FT5" s="39" t="s">
        <v>246</v>
      </c>
      <c r="FU5" s="39" t="s">
        <v>244</v>
      </c>
      <c r="FV5" s="38" t="s">
        <v>248</v>
      </c>
      <c r="FW5" s="39" t="s">
        <v>246</v>
      </c>
      <c r="FX5" s="40" t="s">
        <v>244</v>
      </c>
      <c r="FY5" s="38" t="s">
        <v>248</v>
      </c>
      <c r="FZ5" s="39" t="s">
        <v>246</v>
      </c>
      <c r="GA5" s="113" t="s">
        <v>244</v>
      </c>
    </row>
    <row r="6" spans="1:198" ht="12.75" customHeight="1" thickTop="1" thickBot="1" x14ac:dyDescent="0.25">
      <c r="G6" s="605"/>
      <c r="H6" s="818"/>
      <c r="I6" s="1041" t="s">
        <v>413</v>
      </c>
      <c r="J6" s="1113"/>
      <c r="K6" s="1041"/>
      <c r="L6" s="1111"/>
      <c r="M6" s="1111"/>
      <c r="N6" s="1041"/>
      <c r="O6" s="1111"/>
      <c r="P6" s="1113"/>
      <c r="Q6" s="1111"/>
      <c r="R6" s="1111"/>
      <c r="S6" s="1113"/>
      <c r="T6" s="818"/>
      <c r="AD6" s="1265" t="s">
        <v>677</v>
      </c>
      <c r="AE6" s="953">
        <v>65</v>
      </c>
      <c r="AH6" s="605"/>
      <c r="AI6" s="605" t="s">
        <v>831</v>
      </c>
      <c r="AJ6" s="938">
        <v>20</v>
      </c>
      <c r="AK6" s="938">
        <v>6</v>
      </c>
      <c r="AL6" s="939">
        <v>25</v>
      </c>
      <c r="AS6" s="1940" t="s">
        <v>625</v>
      </c>
      <c r="AT6" s="1935" t="s">
        <v>187</v>
      </c>
      <c r="AU6" s="809" t="s">
        <v>665</v>
      </c>
      <c r="AV6" s="1934" t="s">
        <v>625</v>
      </c>
      <c r="AW6" s="1934" t="s">
        <v>187</v>
      </c>
      <c r="AX6" s="1934" t="s">
        <v>665</v>
      </c>
      <c r="AZ6" s="1281"/>
      <c r="BA6" s="1281"/>
      <c r="BB6" s="1281" t="s">
        <v>511</v>
      </c>
      <c r="BD6" s="1107">
        <v>780</v>
      </c>
      <c r="BE6" s="1107">
        <v>24</v>
      </c>
      <c r="BF6" s="1107">
        <v>8</v>
      </c>
      <c r="BG6" s="1107">
        <v>30</v>
      </c>
      <c r="BI6" t="s">
        <v>1168</v>
      </c>
      <c r="BJ6" s="1527">
        <v>1150</v>
      </c>
      <c r="BK6" s="1527">
        <v>16</v>
      </c>
      <c r="BL6" s="1527">
        <v>3.5</v>
      </c>
      <c r="BM6" s="1527">
        <v>14</v>
      </c>
      <c r="BU6" s="630" t="s">
        <v>1826</v>
      </c>
      <c r="BV6" s="1961">
        <f>10*14/6.25</f>
        <v>22.4</v>
      </c>
      <c r="BW6" s="1962">
        <f>10*0.5*2.29</f>
        <v>11.45</v>
      </c>
      <c r="BX6" s="1962">
        <v>12.5</v>
      </c>
      <c r="BY6"/>
      <c r="CA6" s="540">
        <v>1</v>
      </c>
      <c r="CB6" s="541" t="s">
        <v>185</v>
      </c>
      <c r="CC6" s="950">
        <v>6.9</v>
      </c>
      <c r="CD6" s="946">
        <v>3.2</v>
      </c>
      <c r="CE6" s="946">
        <v>9.1999999999999993</v>
      </c>
      <c r="CF6" s="540">
        <v>1</v>
      </c>
      <c r="CG6" s="541" t="s">
        <v>185</v>
      </c>
      <c r="CH6" s="950">
        <v>9.5</v>
      </c>
      <c r="CI6" s="946">
        <v>3</v>
      </c>
      <c r="CJ6" s="946">
        <v>13.8</v>
      </c>
      <c r="CK6" s="950">
        <v>1.3</v>
      </c>
      <c r="CL6" s="946">
        <v>0.46</v>
      </c>
      <c r="CM6" s="952">
        <v>2.4</v>
      </c>
      <c r="CR6" s="32"/>
      <c r="CS6" s="50" t="s">
        <v>255</v>
      </c>
      <c r="CT6" s="212" t="s">
        <v>181</v>
      </c>
      <c r="CU6" s="110" t="s">
        <v>249</v>
      </c>
      <c r="CV6" s="36" t="s">
        <v>247</v>
      </c>
      <c r="CW6" s="36"/>
      <c r="CX6" s="35" t="s">
        <v>249</v>
      </c>
      <c r="CY6" s="36" t="s">
        <v>247</v>
      </c>
      <c r="CZ6" s="36"/>
      <c r="DA6" s="35" t="s">
        <v>249</v>
      </c>
      <c r="DB6" s="36" t="s">
        <v>247</v>
      </c>
      <c r="DC6" s="109"/>
      <c r="DD6" s="110" t="s">
        <v>249</v>
      </c>
      <c r="DE6" s="36" t="s">
        <v>247</v>
      </c>
      <c r="DF6" s="36"/>
      <c r="DG6" s="35" t="s">
        <v>249</v>
      </c>
      <c r="DH6" s="36" t="s">
        <v>247</v>
      </c>
      <c r="DI6" s="36"/>
      <c r="DJ6" s="35" t="s">
        <v>249</v>
      </c>
      <c r="DK6" s="36" t="s">
        <v>247</v>
      </c>
      <c r="DL6" s="109"/>
      <c r="DN6" s="252" t="s">
        <v>345</v>
      </c>
      <c r="DO6" s="253"/>
      <c r="DP6" s="254"/>
      <c r="DQ6" s="255">
        <v>5</v>
      </c>
      <c r="DR6" s="256"/>
      <c r="DS6" s="959">
        <v>35</v>
      </c>
      <c r="DT6" s="987">
        <v>51</v>
      </c>
      <c r="DU6" s="210"/>
      <c r="DV6" s="960">
        <v>11</v>
      </c>
      <c r="DW6" s="990">
        <v>27</v>
      </c>
      <c r="DX6" s="118"/>
      <c r="DY6" s="959">
        <v>53</v>
      </c>
      <c r="DZ6" s="996">
        <v>88</v>
      </c>
      <c r="EB6" s="52" t="s">
        <v>380</v>
      </c>
      <c r="EC6" s="55">
        <v>1</v>
      </c>
      <c r="ED6" s="517"/>
      <c r="EE6" s="1080"/>
      <c r="EF6" s="105"/>
      <c r="EG6" s="956">
        <v>10</v>
      </c>
      <c r="EH6" s="1055">
        <v>27</v>
      </c>
      <c r="EI6" s="210"/>
      <c r="EJ6" s="956">
        <v>3.5</v>
      </c>
      <c r="EK6" s="1055">
        <v>8</v>
      </c>
      <c r="EL6" s="118"/>
      <c r="EM6" s="956">
        <v>26</v>
      </c>
      <c r="EN6" s="1064">
        <v>38</v>
      </c>
      <c r="EP6" s="1221" t="s">
        <v>197</v>
      </c>
      <c r="EQ6" s="1231">
        <v>4.2</v>
      </c>
      <c r="ER6" s="1227"/>
      <c r="ES6" s="1227"/>
      <c r="ET6" s="1232">
        <v>2.2999999999999998</v>
      </c>
      <c r="EU6" s="1227"/>
      <c r="EV6" s="1229"/>
      <c r="EW6" s="1232">
        <v>4</v>
      </c>
      <c r="EX6" s="1227"/>
      <c r="EY6" s="1230"/>
      <c r="FA6" s="1352" t="s">
        <v>1002</v>
      </c>
      <c r="FB6" s="1371">
        <v>17.399999999999999</v>
      </c>
      <c r="FC6" s="1372"/>
      <c r="FD6" s="1371">
        <v>14.1</v>
      </c>
      <c r="FE6" s="1371">
        <v>9.3000000000000007</v>
      </c>
      <c r="FG6" s="675" t="s">
        <v>1283</v>
      </c>
      <c r="FH6" s="1999">
        <f t="shared" ref="FH6:FH11" si="0">FI6/1000</f>
        <v>0.436</v>
      </c>
      <c r="FI6" s="2001">
        <v>436</v>
      </c>
      <c r="FJ6" s="69"/>
      <c r="FK6" s="1999">
        <f>FL6/1000</f>
        <v>0.38</v>
      </c>
      <c r="FL6" s="2001">
        <v>380</v>
      </c>
      <c r="FM6" s="69"/>
      <c r="FN6" s="1999">
        <f>FO6/1000</f>
        <v>0.34899999999999998</v>
      </c>
      <c r="FO6" s="2001">
        <v>349</v>
      </c>
      <c r="FP6" s="69"/>
      <c r="FR6" s="675" t="s">
        <v>552</v>
      </c>
      <c r="FS6" s="1087">
        <v>6.6000000000000003E-2</v>
      </c>
      <c r="FT6" s="600"/>
      <c r="FU6" s="600"/>
      <c r="FV6" s="1102">
        <v>9.0999999999999998E-2</v>
      </c>
      <c r="FW6" s="600"/>
      <c r="FX6" s="601"/>
      <c r="FY6" s="1091">
        <v>6.5000000000000002E-2</v>
      </c>
      <c r="FZ6" s="600"/>
      <c r="GA6" s="678"/>
      <c r="GG6" s="1528"/>
    </row>
    <row r="7" spans="1:198" ht="12.75" customHeight="1" thickTop="1" thickBot="1" x14ac:dyDescent="0.25">
      <c r="A7" t="s">
        <v>671</v>
      </c>
      <c r="C7" s="1129" t="e">
        <f ca="1">CELL("adresse",SA_CoefSPE)</f>
        <v>#NAME?</v>
      </c>
      <c r="D7" s="1132" t="s">
        <v>44</v>
      </c>
      <c r="E7" s="1134">
        <v>0.8</v>
      </c>
      <c r="H7" s="818"/>
      <c r="I7" s="814"/>
      <c r="J7" s="1114" t="s">
        <v>179</v>
      </c>
      <c r="K7" s="1415">
        <v>75</v>
      </c>
      <c r="L7" s="1212">
        <v>92</v>
      </c>
      <c r="M7" s="1212">
        <v>104</v>
      </c>
      <c r="N7" s="1415">
        <v>83</v>
      </c>
      <c r="O7" s="1212">
        <v>101</v>
      </c>
      <c r="P7" s="1316">
        <v>115</v>
      </c>
      <c r="Q7" s="1212">
        <v>91</v>
      </c>
      <c r="R7" s="1212">
        <v>111</v>
      </c>
      <c r="S7" s="1316">
        <v>126</v>
      </c>
      <c r="T7" s="818"/>
      <c r="AE7" t="s">
        <v>671</v>
      </c>
      <c r="AH7" s="607"/>
      <c r="AI7" s="607" t="s">
        <v>832</v>
      </c>
      <c r="AJ7" s="940">
        <v>18</v>
      </c>
      <c r="AK7" s="940">
        <v>6</v>
      </c>
      <c r="AL7" s="941">
        <v>20</v>
      </c>
      <c r="AQ7" s="2007" t="s">
        <v>1982</v>
      </c>
      <c r="AR7" s="221" t="s">
        <v>703</v>
      </c>
      <c r="AS7" s="1941">
        <v>3</v>
      </c>
      <c r="AT7" s="934">
        <v>0.9</v>
      </c>
      <c r="AU7" s="936">
        <v>1.3</v>
      </c>
      <c r="AV7" s="1942">
        <v>2.2000000000000002</v>
      </c>
      <c r="AW7" s="1942">
        <v>0.75</v>
      </c>
      <c r="AX7" s="1942">
        <v>1.1000000000000001</v>
      </c>
      <c r="AZ7" s="1281"/>
      <c r="BA7" s="1281"/>
      <c r="BB7" s="1281" t="s">
        <v>2274</v>
      </c>
      <c r="BC7" t="s">
        <v>2282</v>
      </c>
      <c r="BD7" s="1107">
        <v>820</v>
      </c>
      <c r="BE7" s="1107">
        <v>21</v>
      </c>
      <c r="BF7" s="1107">
        <v>6</v>
      </c>
      <c r="BG7" s="1107">
        <v>30</v>
      </c>
      <c r="BI7" t="s">
        <v>1169</v>
      </c>
      <c r="BJ7" s="1527">
        <v>950</v>
      </c>
      <c r="BK7" s="1527">
        <v>15</v>
      </c>
      <c r="BL7" s="1527">
        <v>2.2999999999999998</v>
      </c>
      <c r="BM7" s="1527">
        <v>6.5</v>
      </c>
      <c r="BU7" s="630" t="s">
        <v>1827</v>
      </c>
      <c r="BV7" s="1961">
        <f>10*16.5/6.25</f>
        <v>26.4</v>
      </c>
      <c r="BW7" s="1962">
        <f>10*0.6*2.29</f>
        <v>13.74</v>
      </c>
      <c r="BX7" s="1962">
        <v>12.5</v>
      </c>
      <c r="BY7"/>
      <c r="CA7" s="540">
        <v>0.75</v>
      </c>
      <c r="CB7" s="541">
        <v>0.25</v>
      </c>
      <c r="CC7" s="950">
        <v>6.4</v>
      </c>
      <c r="CD7" s="946">
        <v>3</v>
      </c>
      <c r="CE7" s="946">
        <v>8.3000000000000007</v>
      </c>
      <c r="CF7" s="540">
        <v>0.5</v>
      </c>
      <c r="CG7" s="541" t="s">
        <v>191</v>
      </c>
      <c r="CH7" s="950">
        <v>3.6</v>
      </c>
      <c r="CI7" s="946">
        <v>1.2</v>
      </c>
      <c r="CJ7" s="946">
        <v>4.5</v>
      </c>
      <c r="CK7" s="950">
        <v>4.9000000000000004</v>
      </c>
      <c r="CL7" s="946">
        <v>2.06</v>
      </c>
      <c r="CM7" s="947">
        <v>8.3000000000000007</v>
      </c>
      <c r="CR7" s="176"/>
      <c r="CS7" s="51" t="s">
        <v>272</v>
      </c>
      <c r="CT7" s="126" t="s">
        <v>259</v>
      </c>
      <c r="CU7" s="110" t="s">
        <v>248</v>
      </c>
      <c r="CV7" s="36" t="s">
        <v>246</v>
      </c>
      <c r="CW7" s="36" t="s">
        <v>244</v>
      </c>
      <c r="CX7" s="35" t="s">
        <v>248</v>
      </c>
      <c r="CY7" s="36" t="s">
        <v>246</v>
      </c>
      <c r="CZ7" s="36" t="s">
        <v>244</v>
      </c>
      <c r="DA7" s="35" t="s">
        <v>248</v>
      </c>
      <c r="DB7" s="36" t="s">
        <v>246</v>
      </c>
      <c r="DC7" s="109" t="s">
        <v>244</v>
      </c>
      <c r="DD7" s="110" t="s">
        <v>248</v>
      </c>
      <c r="DE7" s="36" t="s">
        <v>246</v>
      </c>
      <c r="DF7" s="36" t="s">
        <v>244</v>
      </c>
      <c r="DG7" s="35" t="s">
        <v>248</v>
      </c>
      <c r="DH7" s="36" t="s">
        <v>246</v>
      </c>
      <c r="DI7" s="36" t="s">
        <v>244</v>
      </c>
      <c r="DJ7" s="35" t="s">
        <v>248</v>
      </c>
      <c r="DK7" s="36" t="s">
        <v>246</v>
      </c>
      <c r="DL7" s="109" t="s">
        <v>244</v>
      </c>
      <c r="DN7" s="257" t="s">
        <v>342</v>
      </c>
      <c r="DO7" s="258"/>
      <c r="DP7" s="259"/>
      <c r="DQ7" s="260">
        <v>6</v>
      </c>
      <c r="DR7" s="261"/>
      <c r="DS7" s="953">
        <v>42</v>
      </c>
      <c r="DT7" s="954">
        <v>57</v>
      </c>
      <c r="DU7" s="204"/>
      <c r="DV7" s="946">
        <v>12</v>
      </c>
      <c r="DW7" s="947">
        <v>29</v>
      </c>
      <c r="DX7" s="128"/>
      <c r="DY7" s="953">
        <v>66</v>
      </c>
      <c r="DZ7" s="997">
        <v>95</v>
      </c>
      <c r="EB7" s="120"/>
      <c r="EC7" s="34">
        <v>2</v>
      </c>
      <c r="ED7" s="1081"/>
      <c r="EE7" s="1082"/>
      <c r="EF7" s="106"/>
      <c r="EG7" s="1056">
        <v>24</v>
      </c>
      <c r="EH7" s="1056">
        <v>46</v>
      </c>
      <c r="EI7" s="660"/>
      <c r="EJ7" s="1056">
        <v>7.5</v>
      </c>
      <c r="EK7" s="1056">
        <v>16</v>
      </c>
      <c r="EL7" s="122"/>
      <c r="EM7" s="1056">
        <v>43</v>
      </c>
      <c r="EN7" s="1065">
        <v>65</v>
      </c>
      <c r="EP7" s="188"/>
      <c r="EQ7" s="188"/>
      <c r="ER7" s="188"/>
      <c r="ES7" s="188"/>
      <c r="ET7" s="188"/>
      <c r="EU7" s="188"/>
      <c r="EV7" s="188"/>
      <c r="EW7" s="188"/>
      <c r="EX7" s="188"/>
      <c r="EY7" s="188"/>
      <c r="FA7" s="1352" t="s">
        <v>1003</v>
      </c>
      <c r="FB7" s="1371">
        <v>0.44</v>
      </c>
      <c r="FC7" s="1372"/>
      <c r="FD7" s="1371">
        <v>0.31</v>
      </c>
      <c r="FE7" s="1371">
        <v>0.34</v>
      </c>
      <c r="FG7" s="676" t="s">
        <v>1284</v>
      </c>
      <c r="FH7" s="1999">
        <f t="shared" si="0"/>
        <v>0.46700000000000003</v>
      </c>
      <c r="FI7" s="2001">
        <v>467</v>
      </c>
      <c r="FJ7" s="69"/>
      <c r="FK7" s="1999">
        <f>FL7/1000</f>
        <v>0.38</v>
      </c>
      <c r="FL7" s="2001">
        <v>380</v>
      </c>
      <c r="FM7" s="69"/>
      <c r="FN7" s="1999">
        <f>FO7/1000</f>
        <v>0.34899999999999998</v>
      </c>
      <c r="FO7" s="2001">
        <v>349</v>
      </c>
      <c r="FP7" s="69"/>
      <c r="FR7" s="676" t="s">
        <v>553</v>
      </c>
      <c r="FS7" s="1087">
        <v>2.5000000000000001E-2</v>
      </c>
      <c r="FT7" s="600"/>
      <c r="FU7" s="600"/>
      <c r="FV7" s="1089">
        <v>3.2000000000000001E-2</v>
      </c>
      <c r="FW7" s="600"/>
      <c r="FX7" s="602"/>
      <c r="FY7" s="1091">
        <v>2.4E-2</v>
      </c>
      <c r="FZ7" s="600"/>
      <c r="GA7" s="679"/>
    </row>
    <row r="8" spans="1:198" ht="12.75" customHeight="1" thickTop="1" thickBot="1" x14ac:dyDescent="0.25">
      <c r="A8" s="1158" t="s">
        <v>136</v>
      </c>
      <c r="H8" s="818"/>
      <c r="I8" s="1041"/>
      <c r="J8" s="1111" t="s">
        <v>414</v>
      </c>
      <c r="K8" s="1416">
        <v>25</v>
      </c>
      <c r="L8"/>
      <c r="M8"/>
      <c r="N8"/>
      <c r="O8"/>
      <c r="P8"/>
      <c r="Q8"/>
      <c r="R8"/>
      <c r="S8"/>
      <c r="T8" s="818"/>
      <c r="U8" s="3490" t="str">
        <f ca="1">CELL("adresse",Chargements!AA82)</f>
        <v>'[Bilagreau7 exemple.xlsm]Chargements'!$AA$82</v>
      </c>
      <c r="V8" s="3455"/>
      <c r="AC8" s="3455" t="str">
        <f ca="1">CELL("adresse",Plan_Epandage!AJ15)</f>
        <v>'[Bilagreau7 exemple.xlsm]Plan_Epandage'!$AJ$15</v>
      </c>
      <c r="AD8" s="3455"/>
      <c r="AE8" s="3455"/>
      <c r="AF8" s="2103"/>
      <c r="AQ8" s="2007" t="s">
        <v>2398</v>
      </c>
      <c r="AR8" s="221" t="s">
        <v>703</v>
      </c>
      <c r="AS8" s="1941">
        <v>3.8</v>
      </c>
      <c r="AT8" s="934">
        <v>0.7</v>
      </c>
      <c r="AU8" s="936">
        <v>1.4</v>
      </c>
      <c r="AV8" s="1942">
        <v>2.6</v>
      </c>
      <c r="AW8" s="1942">
        <v>0.6</v>
      </c>
      <c r="AX8" s="1942">
        <v>1</v>
      </c>
      <c r="AZ8" s="1281"/>
      <c r="BA8" s="1281"/>
      <c r="BC8" t="s">
        <v>2283</v>
      </c>
      <c r="BD8" s="1107">
        <v>750</v>
      </c>
      <c r="BE8" s="1107">
        <v>17</v>
      </c>
      <c r="BF8" s="1107">
        <v>5.5</v>
      </c>
      <c r="BG8" s="1107">
        <v>25</v>
      </c>
      <c r="BI8" t="s">
        <v>1170</v>
      </c>
      <c r="BJ8" s="1527">
        <v>820</v>
      </c>
      <c r="BK8" s="1527">
        <v>38</v>
      </c>
      <c r="BL8" s="1527">
        <v>16</v>
      </c>
      <c r="BM8" s="1527">
        <v>7.2</v>
      </c>
      <c r="BU8" s="630" t="s">
        <v>1828</v>
      </c>
      <c r="BV8" s="1961">
        <f>10*21/6.25</f>
        <v>33.6</v>
      </c>
      <c r="BW8" s="1962">
        <f>10*0.68*2.29</f>
        <v>15.572000000000003</v>
      </c>
      <c r="BX8" s="1962">
        <v>12</v>
      </c>
      <c r="BY8"/>
      <c r="CA8" s="540">
        <v>0.5</v>
      </c>
      <c r="CB8" s="541">
        <v>0.5</v>
      </c>
      <c r="CC8" s="950">
        <v>5.9</v>
      </c>
      <c r="CD8" s="946">
        <v>3</v>
      </c>
      <c r="CE8" s="946">
        <v>7.5</v>
      </c>
      <c r="CF8" s="540">
        <v>0.25</v>
      </c>
      <c r="CG8" s="541" t="s">
        <v>192</v>
      </c>
      <c r="CH8" s="950">
        <v>3.4</v>
      </c>
      <c r="CI8" s="946">
        <v>1.2</v>
      </c>
      <c r="CJ8" s="946">
        <v>3.8</v>
      </c>
      <c r="CK8" s="950">
        <v>4.7</v>
      </c>
      <c r="CL8" s="946">
        <v>2.06</v>
      </c>
      <c r="CM8" s="947">
        <v>7.2</v>
      </c>
      <c r="CR8" s="252" t="s">
        <v>264</v>
      </c>
      <c r="CS8" s="117" t="s">
        <v>484</v>
      </c>
      <c r="CT8" s="430"/>
      <c r="CU8" s="431"/>
      <c r="CV8" s="956">
        <v>0</v>
      </c>
      <c r="CW8" s="956">
        <v>18</v>
      </c>
      <c r="CX8" s="193"/>
      <c r="CY8" s="960">
        <v>0</v>
      </c>
      <c r="CZ8" s="960">
        <v>8</v>
      </c>
      <c r="DA8" s="193"/>
      <c r="DB8" s="960">
        <v>0</v>
      </c>
      <c r="DC8" s="963">
        <v>32</v>
      </c>
      <c r="DD8" s="431"/>
      <c r="DE8" s="956">
        <v>0</v>
      </c>
      <c r="DF8" s="956">
        <v>18</v>
      </c>
      <c r="DG8" s="193"/>
      <c r="DH8" s="960">
        <v>0</v>
      </c>
      <c r="DI8" s="960">
        <v>8</v>
      </c>
      <c r="DJ8" s="193"/>
      <c r="DK8" s="960">
        <v>0</v>
      </c>
      <c r="DL8" s="963">
        <v>32</v>
      </c>
      <c r="DN8" s="120"/>
      <c r="DO8" s="258"/>
      <c r="DP8" s="259"/>
      <c r="DQ8" s="260">
        <v>7</v>
      </c>
      <c r="DR8" s="261"/>
      <c r="DS8" s="953">
        <v>50</v>
      </c>
      <c r="DT8" s="954">
        <v>66</v>
      </c>
      <c r="DU8" s="204"/>
      <c r="DV8" s="946">
        <v>16</v>
      </c>
      <c r="DW8" s="947">
        <v>32</v>
      </c>
      <c r="DX8" s="128"/>
      <c r="DY8" s="953">
        <v>79</v>
      </c>
      <c r="DZ8" s="997">
        <v>101</v>
      </c>
      <c r="EB8" s="120"/>
      <c r="EC8" s="68">
        <v>3</v>
      </c>
      <c r="ED8" s="366">
        <v>28</v>
      </c>
      <c r="EE8" s="109" t="s">
        <v>183</v>
      </c>
      <c r="EF8" s="125"/>
      <c r="EG8" s="938">
        <v>0</v>
      </c>
      <c r="EH8" s="938">
        <v>14</v>
      </c>
      <c r="EI8" s="204"/>
      <c r="EJ8" s="938">
        <v>0</v>
      </c>
      <c r="EK8" s="938">
        <v>3.5</v>
      </c>
      <c r="EL8" s="128"/>
      <c r="EM8" s="938">
        <v>0</v>
      </c>
      <c r="EN8" s="1066">
        <v>13</v>
      </c>
      <c r="EP8" s="188"/>
      <c r="EQ8" s="188"/>
      <c r="ER8" s="188"/>
      <c r="ES8" s="188"/>
      <c r="ET8" s="188"/>
      <c r="EU8" s="188"/>
      <c r="EV8" s="188"/>
      <c r="EW8" s="188"/>
      <c r="EX8" s="188"/>
      <c r="EY8" s="188"/>
      <c r="FA8" s="1352" t="s">
        <v>1004</v>
      </c>
      <c r="FB8" s="1371">
        <v>3.17</v>
      </c>
      <c r="FC8" s="1372"/>
      <c r="FD8" s="1371">
        <v>2.12</v>
      </c>
      <c r="FE8" s="1371">
        <v>1.9</v>
      </c>
      <c r="FG8" s="676" t="s">
        <v>1988</v>
      </c>
      <c r="FH8" s="1999">
        <f t="shared" si="0"/>
        <v>0.41299999999999998</v>
      </c>
      <c r="FI8" s="2001">
        <v>413</v>
      </c>
      <c r="FJ8" s="69"/>
      <c r="FK8" s="1999">
        <f>FL8/1000</f>
        <v>0.38</v>
      </c>
      <c r="FL8" s="2001">
        <v>380</v>
      </c>
      <c r="FM8" s="69"/>
      <c r="FN8" s="1999">
        <f>FO8/1000</f>
        <v>0.34899999999999998</v>
      </c>
      <c r="FO8" s="2001">
        <v>349</v>
      </c>
      <c r="FP8" s="69"/>
      <c r="FR8" s="680" t="s">
        <v>554</v>
      </c>
      <c r="FS8" s="1088">
        <v>4.8000000000000001E-2</v>
      </c>
      <c r="FT8" s="686"/>
      <c r="FU8" s="686"/>
      <c r="FV8" s="1090">
        <v>5.5E-2</v>
      </c>
      <c r="FW8" s="686"/>
      <c r="FX8" s="687"/>
      <c r="FY8" s="1092">
        <v>4.2999999999999997E-2</v>
      </c>
      <c r="FZ8" s="686"/>
      <c r="GA8" s="688"/>
    </row>
    <row r="9" spans="1:198" ht="12.75" customHeight="1" thickTop="1" thickBot="1" x14ac:dyDescent="0.25">
      <c r="A9" s="1157" t="s">
        <v>671</v>
      </c>
      <c r="H9" s="818"/>
      <c r="I9" s="811"/>
      <c r="J9" s="613" t="s">
        <v>180</v>
      </c>
      <c r="K9" s="1417">
        <v>42</v>
      </c>
      <c r="L9"/>
      <c r="M9"/>
      <c r="N9"/>
      <c r="O9"/>
      <c r="P9"/>
      <c r="Q9"/>
      <c r="R9"/>
      <c r="S9"/>
      <c r="T9" s="818"/>
      <c r="U9" s="3489" t="s">
        <v>843</v>
      </c>
      <c r="AC9" s="3456" t="s">
        <v>685</v>
      </c>
      <c r="AD9" s="3456"/>
      <c r="AE9" s="3456"/>
      <c r="AF9" s="2105"/>
      <c r="AH9" s="605"/>
      <c r="AI9" s="605"/>
      <c r="AJ9" s="605"/>
      <c r="AK9" s="605"/>
      <c r="AL9" s="605"/>
      <c r="AQ9" s="2007" t="s">
        <v>1983</v>
      </c>
      <c r="AR9" s="221" t="s">
        <v>703</v>
      </c>
      <c r="AS9" s="1941">
        <v>2.6</v>
      </c>
      <c r="AT9" s="934">
        <v>0.85</v>
      </c>
      <c r="AU9" s="936">
        <v>1.3</v>
      </c>
      <c r="AV9" s="1942">
        <v>1.9</v>
      </c>
      <c r="AW9" s="1942">
        <v>0.8</v>
      </c>
      <c r="AX9" s="1942">
        <v>1</v>
      </c>
      <c r="BC9" t="s">
        <v>2284</v>
      </c>
      <c r="BD9" s="1107">
        <v>650</v>
      </c>
      <c r="BE9" s="1107">
        <v>15</v>
      </c>
      <c r="BF9" s="1107">
        <v>5</v>
      </c>
      <c r="BG9" s="1107">
        <v>20</v>
      </c>
      <c r="BI9" t="s">
        <v>1175</v>
      </c>
      <c r="BJ9" s="1527">
        <v>700</v>
      </c>
      <c r="BK9" s="1527">
        <v>30</v>
      </c>
      <c r="BL9" s="1527">
        <v>6</v>
      </c>
      <c r="BM9" s="1527">
        <v>30</v>
      </c>
      <c r="BU9" s="630" t="s">
        <v>1829</v>
      </c>
      <c r="BV9" s="1961">
        <f>10*19/6.25</f>
        <v>30.4</v>
      </c>
      <c r="BW9" s="1962">
        <f>10*0.58*2.29</f>
        <v>13.282</v>
      </c>
      <c r="BX9" s="1962">
        <v>8</v>
      </c>
      <c r="BY9"/>
      <c r="CA9" s="540">
        <v>0.25</v>
      </c>
      <c r="CB9" s="541">
        <v>0.75</v>
      </c>
      <c r="CC9" s="950">
        <v>5.5</v>
      </c>
      <c r="CD9" s="946">
        <v>3</v>
      </c>
      <c r="CE9" s="946">
        <v>6.5</v>
      </c>
      <c r="CF9" s="540">
        <v>0.5</v>
      </c>
      <c r="CG9" s="541" t="s">
        <v>193</v>
      </c>
      <c r="CH9" s="950">
        <v>3.1</v>
      </c>
      <c r="CI9" s="946">
        <v>1.2</v>
      </c>
      <c r="CJ9" s="946">
        <v>3.8</v>
      </c>
      <c r="CK9" s="950">
        <v>4.4000000000000004</v>
      </c>
      <c r="CL9" s="946">
        <v>2.06</v>
      </c>
      <c r="CM9" s="947">
        <v>7.1</v>
      </c>
      <c r="CR9" s="257">
        <v>1</v>
      </c>
      <c r="CS9" s="127" t="s">
        <v>274</v>
      </c>
      <c r="CT9" s="434"/>
      <c r="CU9" s="110"/>
      <c r="CV9" s="938">
        <v>0</v>
      </c>
      <c r="CW9" s="938">
        <v>22</v>
      </c>
      <c r="CX9" s="316"/>
      <c r="CY9" s="946">
        <v>0</v>
      </c>
      <c r="CZ9" s="946">
        <v>9</v>
      </c>
      <c r="DA9" s="316"/>
      <c r="DB9" s="946">
        <v>0</v>
      </c>
      <c r="DC9" s="964">
        <v>37</v>
      </c>
      <c r="DD9" s="110"/>
      <c r="DE9" s="938">
        <v>0</v>
      </c>
      <c r="DF9" s="938">
        <v>22</v>
      </c>
      <c r="DG9" s="316"/>
      <c r="DH9" s="946">
        <v>0</v>
      </c>
      <c r="DI9" s="946">
        <v>9</v>
      </c>
      <c r="DJ9" s="316"/>
      <c r="DK9" s="946">
        <v>0</v>
      </c>
      <c r="DL9" s="964">
        <v>37</v>
      </c>
      <c r="DN9" s="262"/>
      <c r="DO9" s="258"/>
      <c r="DP9" s="259"/>
      <c r="DQ9" s="260">
        <v>8</v>
      </c>
      <c r="DR9" s="261"/>
      <c r="DS9" s="953">
        <v>56</v>
      </c>
      <c r="DT9" s="954">
        <v>71</v>
      </c>
      <c r="DU9" s="204"/>
      <c r="DV9" s="946">
        <v>18.5</v>
      </c>
      <c r="DW9" s="947">
        <v>34</v>
      </c>
      <c r="DX9" s="128"/>
      <c r="DY9" s="953">
        <v>92</v>
      </c>
      <c r="DZ9" s="997">
        <v>108</v>
      </c>
      <c r="EB9" s="120"/>
      <c r="EC9" s="68"/>
      <c r="ED9" s="366"/>
      <c r="EE9" s="109" t="s">
        <v>163</v>
      </c>
      <c r="EF9" s="125"/>
      <c r="EG9" s="68"/>
      <c r="EH9" s="938">
        <v>24</v>
      </c>
      <c r="EI9" s="204"/>
      <c r="EJ9" s="68"/>
      <c r="EK9" s="938">
        <v>8</v>
      </c>
      <c r="EL9" s="128"/>
      <c r="EM9" s="68"/>
      <c r="EN9" s="1066">
        <v>31</v>
      </c>
      <c r="FA9" s="1352" t="s">
        <v>1005</v>
      </c>
      <c r="FB9" s="1371">
        <v>4.0999999999999996</v>
      </c>
      <c r="FC9" s="1372"/>
      <c r="FD9" s="1371">
        <v>2.37</v>
      </c>
      <c r="FE9" s="1371">
        <v>2.61</v>
      </c>
      <c r="FG9" s="676" t="s">
        <v>1285</v>
      </c>
      <c r="FH9" s="1999">
        <f t="shared" si="0"/>
        <v>0.36499999999999999</v>
      </c>
      <c r="FI9" s="2001">
        <v>365</v>
      </c>
      <c r="FJ9" s="69"/>
      <c r="FK9" s="1999">
        <f t="shared" ref="FK9:FK22" si="1">FL9/1000</f>
        <v>0.35299999999999998</v>
      </c>
      <c r="FL9" s="2001">
        <v>353</v>
      </c>
      <c r="FM9" s="69"/>
      <c r="FN9" s="1999">
        <f t="shared" ref="FN9:FN22" si="2">FO9/1000</f>
        <v>0.33</v>
      </c>
      <c r="FO9" s="2001">
        <v>330</v>
      </c>
      <c r="FP9" s="69"/>
      <c r="GN9" s="1372"/>
      <c r="GO9" s="1372"/>
      <c r="GP9" s="1372"/>
    </row>
    <row r="10" spans="1:198" ht="12.75" customHeight="1" thickTop="1" x14ac:dyDescent="0.2">
      <c r="A10" s="1158" t="s">
        <v>1369</v>
      </c>
      <c r="H10" s="818"/>
      <c r="I10" s="811"/>
      <c r="J10" s="613" t="s">
        <v>415</v>
      </c>
      <c r="K10" s="1417">
        <v>53</v>
      </c>
      <c r="L10"/>
      <c r="M10"/>
      <c r="N10"/>
      <c r="O10"/>
      <c r="P10"/>
      <c r="Q10"/>
      <c r="R10"/>
      <c r="S10"/>
      <c r="T10" s="818"/>
      <c r="U10" s="3489"/>
      <c r="V10" s="1106">
        <v>600</v>
      </c>
      <c r="AA10" t="s">
        <v>671</v>
      </c>
      <c r="AC10" s="3456"/>
      <c r="AD10" s="3456"/>
      <c r="AE10" s="3456"/>
      <c r="AF10" s="2105"/>
      <c r="AH10" s="2106" t="str">
        <f ca="1">CELL("adresse",Ferti_Prairies!AI8)</f>
        <v>'[Bilagreau7 exemple.xlsm]Ferti_Prairies'!$AI$8</v>
      </c>
      <c r="AI10" s="603"/>
      <c r="AJ10" s="701" t="s">
        <v>625</v>
      </c>
      <c r="AK10" s="701" t="s">
        <v>187</v>
      </c>
      <c r="AL10" s="616" t="s">
        <v>665</v>
      </c>
      <c r="AQ10" s="188" t="s">
        <v>692</v>
      </c>
      <c r="AR10" s="221" t="s">
        <v>703</v>
      </c>
      <c r="AS10" s="1941">
        <v>2.2999999999999998</v>
      </c>
      <c r="AT10" s="934">
        <v>0.7</v>
      </c>
      <c r="AU10" s="936">
        <v>1.35</v>
      </c>
      <c r="AV10" s="1942">
        <v>2.2000000000000002</v>
      </c>
      <c r="AW10" s="1942">
        <v>0.7</v>
      </c>
      <c r="AX10" s="1942">
        <v>1.2</v>
      </c>
      <c r="BC10" t="s">
        <v>2285</v>
      </c>
      <c r="BD10" s="1107">
        <v>750</v>
      </c>
      <c r="BE10" s="1107">
        <v>18</v>
      </c>
      <c r="BF10" s="1107">
        <v>5</v>
      </c>
      <c r="BG10" s="1107">
        <v>25</v>
      </c>
      <c r="BI10" t="s">
        <v>1899</v>
      </c>
      <c r="BJ10" s="1527">
        <v>900</v>
      </c>
      <c r="BK10" s="1527">
        <v>12</v>
      </c>
      <c r="BL10" s="1527">
        <v>5</v>
      </c>
      <c r="BM10" s="1527">
        <v>11</v>
      </c>
      <c r="BU10" s="630" t="s">
        <v>1830</v>
      </c>
      <c r="BV10" s="1961">
        <f>10*20/6.25</f>
        <v>32</v>
      </c>
      <c r="BW10" s="1962">
        <f>10*0.68*2.29</f>
        <v>15.572000000000003</v>
      </c>
      <c r="BX10" s="1962">
        <v>10</v>
      </c>
      <c r="BY10"/>
      <c r="CA10" s="542" t="s">
        <v>185</v>
      </c>
      <c r="CB10" s="543">
        <v>1</v>
      </c>
      <c r="CC10" s="951">
        <v>5</v>
      </c>
      <c r="CD10" s="948">
        <v>3</v>
      </c>
      <c r="CE10" s="948">
        <v>5.7</v>
      </c>
      <c r="CF10" s="542">
        <v>0.25</v>
      </c>
      <c r="CG10" s="543" t="s">
        <v>194</v>
      </c>
      <c r="CH10" s="951">
        <v>2.7</v>
      </c>
      <c r="CI10" s="948">
        <v>1.2</v>
      </c>
      <c r="CJ10" s="948">
        <v>2.9</v>
      </c>
      <c r="CK10" s="951">
        <v>3.9</v>
      </c>
      <c r="CL10" s="948">
        <v>2.06</v>
      </c>
      <c r="CM10" s="949">
        <v>5.4</v>
      </c>
      <c r="CR10" s="257" t="s">
        <v>278</v>
      </c>
      <c r="CS10" s="130">
        <v>4</v>
      </c>
      <c r="CT10" s="435"/>
      <c r="CU10" s="277"/>
      <c r="CV10" s="957">
        <v>8</v>
      </c>
      <c r="CW10" s="957">
        <v>25</v>
      </c>
      <c r="CX10" s="279"/>
      <c r="CY10" s="961">
        <v>2.5</v>
      </c>
      <c r="CZ10" s="961">
        <v>6</v>
      </c>
      <c r="DA10" s="279"/>
      <c r="DB10" s="961">
        <v>20</v>
      </c>
      <c r="DC10" s="965">
        <v>30</v>
      </c>
      <c r="DD10" s="277"/>
      <c r="DE10" s="957">
        <v>8</v>
      </c>
      <c r="DF10" s="957">
        <v>25</v>
      </c>
      <c r="DG10" s="279"/>
      <c r="DH10" s="961">
        <v>2.5</v>
      </c>
      <c r="DI10" s="961">
        <v>6</v>
      </c>
      <c r="DJ10" s="279"/>
      <c r="DK10" s="961">
        <v>20</v>
      </c>
      <c r="DL10" s="965">
        <v>30</v>
      </c>
      <c r="DN10" s="1346" t="s">
        <v>351</v>
      </c>
      <c r="DO10" s="81">
        <v>1</v>
      </c>
      <c r="DP10" s="81"/>
      <c r="DQ10" s="265"/>
      <c r="DR10" s="266"/>
      <c r="DS10" s="988">
        <v>10</v>
      </c>
      <c r="DT10" s="988">
        <v>27</v>
      </c>
      <c r="DU10" s="268"/>
      <c r="DV10" s="991">
        <v>3.5</v>
      </c>
      <c r="DW10" s="992">
        <v>8</v>
      </c>
      <c r="DX10" s="269"/>
      <c r="DY10" s="988">
        <v>26</v>
      </c>
      <c r="DZ10" s="998">
        <v>38</v>
      </c>
      <c r="EB10" s="120"/>
      <c r="EC10" s="68"/>
      <c r="ED10" s="459">
        <v>30</v>
      </c>
      <c r="EE10" s="1083" t="s">
        <v>183</v>
      </c>
      <c r="EF10" s="132"/>
      <c r="EG10" s="971">
        <v>0</v>
      </c>
      <c r="EH10" s="971">
        <v>22</v>
      </c>
      <c r="EI10" s="279"/>
      <c r="EJ10" s="971">
        <v>0</v>
      </c>
      <c r="EK10" s="971">
        <v>5.5</v>
      </c>
      <c r="EL10" s="136"/>
      <c r="EM10" s="971">
        <v>0</v>
      </c>
      <c r="EN10" s="1067">
        <v>20</v>
      </c>
      <c r="FA10" s="1365" t="s">
        <v>2002</v>
      </c>
      <c r="FB10" s="1379">
        <v>3.5999999999999997E-2</v>
      </c>
      <c r="FC10" s="1372"/>
      <c r="FD10" s="1380">
        <v>2.4E-2</v>
      </c>
      <c r="FE10" s="1995">
        <v>2.1999999999999999E-2</v>
      </c>
      <c r="FG10" s="676" t="s">
        <v>1286</v>
      </c>
      <c r="FH10" s="1999">
        <f t="shared" si="0"/>
        <v>0.36499999999999999</v>
      </c>
      <c r="FI10" s="2001">
        <v>365</v>
      </c>
      <c r="FJ10" s="69"/>
      <c r="FK10" s="1999">
        <f t="shared" si="1"/>
        <v>0.34899999999999998</v>
      </c>
      <c r="FL10" s="2001">
        <v>349</v>
      </c>
      <c r="FM10" s="69"/>
      <c r="FN10" s="1999">
        <f t="shared" si="2"/>
        <v>0.33300000000000002</v>
      </c>
      <c r="FO10" s="2001">
        <v>333</v>
      </c>
      <c r="FP10" s="69"/>
      <c r="FR10" s="32"/>
      <c r="FS10" s="32"/>
      <c r="FT10" s="32"/>
      <c r="FU10" s="32"/>
      <c r="FY10" s="32"/>
      <c r="FZ10" s="32"/>
      <c r="GA10" s="32"/>
      <c r="GN10" s="1372"/>
      <c r="GO10" s="1372"/>
      <c r="GP10" s="1372"/>
    </row>
    <row r="11" spans="1:198" ht="12.75" customHeight="1" thickBot="1" x14ac:dyDescent="0.25">
      <c r="A11" s="1157" t="s">
        <v>671</v>
      </c>
      <c r="C11" s="1128" t="str">
        <f ca="1">CELL("adresse",Saisies_Exploitation!AE47)</f>
        <v>'[Bilagreau7 exemple.xlsm]Saisies_Exploitation'!$AE$47</v>
      </c>
      <c r="D11" s="822" t="s">
        <v>958</v>
      </c>
      <c r="E11" s="937">
        <v>0.3</v>
      </c>
      <c r="F11" s="605"/>
      <c r="I11" s="811" t="s">
        <v>416</v>
      </c>
      <c r="J11" s="613"/>
      <c r="K11" s="1418"/>
      <c r="L11"/>
      <c r="M11"/>
      <c r="N11"/>
      <c r="O11"/>
      <c r="P11"/>
      <c r="Q11"/>
      <c r="R11"/>
      <c r="S11"/>
      <c r="AD11" t="s">
        <v>1722</v>
      </c>
      <c r="AE11" s="934">
        <v>0.6</v>
      </c>
      <c r="AF11" s="934">
        <v>1.6</v>
      </c>
      <c r="AH11" s="3475" t="s">
        <v>13</v>
      </c>
      <c r="AI11" s="613" t="s">
        <v>733</v>
      </c>
      <c r="AJ11" s="938">
        <v>8</v>
      </c>
      <c r="AK11" s="938">
        <v>8</v>
      </c>
      <c r="AL11" s="939">
        <v>45</v>
      </c>
      <c r="AQ11" s="188" t="s">
        <v>853</v>
      </c>
      <c r="AR11" s="221" t="s">
        <v>703</v>
      </c>
      <c r="AS11" s="1941">
        <v>2.4</v>
      </c>
      <c r="AT11" s="934">
        <v>1.2</v>
      </c>
      <c r="AU11" s="936">
        <v>2.2999999999999998</v>
      </c>
      <c r="AV11" s="1942">
        <v>2.2000000000000002</v>
      </c>
      <c r="AW11" s="1942">
        <v>1.2</v>
      </c>
      <c r="AX11" s="1942">
        <v>0.85</v>
      </c>
      <c r="BB11" s="1281" t="s">
        <v>2275</v>
      </c>
      <c r="BC11" t="s">
        <v>2282</v>
      </c>
      <c r="BD11" s="1107">
        <v>800</v>
      </c>
      <c r="BE11" s="1107">
        <v>26</v>
      </c>
      <c r="BF11" s="1107">
        <v>6.5</v>
      </c>
      <c r="BG11" s="1107">
        <v>35</v>
      </c>
      <c r="BI11" t="s">
        <v>1171</v>
      </c>
      <c r="BJ11" s="1527">
        <v>800</v>
      </c>
      <c r="BK11" s="1527">
        <v>26</v>
      </c>
      <c r="BL11" s="1527">
        <v>6.8</v>
      </c>
      <c r="BM11" s="1527">
        <v>25</v>
      </c>
      <c r="BU11" s="630" t="s">
        <v>1831</v>
      </c>
      <c r="BV11" s="1961">
        <f>10*18/6.25</f>
        <v>28.8</v>
      </c>
      <c r="BW11" s="1962">
        <f>10*0.58*2.29</f>
        <v>13.282</v>
      </c>
      <c r="BX11" s="1962">
        <v>0.77</v>
      </c>
      <c r="BY11"/>
      <c r="CR11" s="257" t="s">
        <v>279</v>
      </c>
      <c r="CS11" s="127">
        <v>5</v>
      </c>
      <c r="CT11" s="434"/>
      <c r="CU11" s="261"/>
      <c r="CV11" s="953">
        <v>10</v>
      </c>
      <c r="CW11" s="953">
        <v>27</v>
      </c>
      <c r="CX11" s="204"/>
      <c r="CY11" s="946">
        <v>3</v>
      </c>
      <c r="CZ11" s="946">
        <v>6.5</v>
      </c>
      <c r="DA11" s="204"/>
      <c r="DB11" s="946">
        <v>26</v>
      </c>
      <c r="DC11" s="964">
        <v>38</v>
      </c>
      <c r="DD11" s="261"/>
      <c r="DE11" s="953">
        <v>10</v>
      </c>
      <c r="DF11" s="953">
        <v>27</v>
      </c>
      <c r="DG11" s="204"/>
      <c r="DH11" s="946">
        <v>3</v>
      </c>
      <c r="DI11" s="946">
        <v>6.5</v>
      </c>
      <c r="DJ11" s="204"/>
      <c r="DK11" s="946">
        <v>26</v>
      </c>
      <c r="DL11" s="964">
        <v>38</v>
      </c>
      <c r="DN11" s="125" t="s">
        <v>352</v>
      </c>
      <c r="DO11" s="50">
        <v>2</v>
      </c>
      <c r="DP11" s="50"/>
      <c r="DQ11" s="212">
        <v>5</v>
      </c>
      <c r="DR11" s="270"/>
      <c r="DS11" s="989">
        <v>20</v>
      </c>
      <c r="DT11" s="989">
        <v>35</v>
      </c>
      <c r="DU11" s="214"/>
      <c r="DV11" s="993">
        <v>6.5</v>
      </c>
      <c r="DW11" s="952">
        <v>16</v>
      </c>
      <c r="DX11" s="215"/>
      <c r="DY11" s="989">
        <v>29</v>
      </c>
      <c r="DZ11" s="999">
        <v>48</v>
      </c>
      <c r="EB11" s="120"/>
      <c r="EC11" s="68"/>
      <c r="ED11" s="1084"/>
      <c r="EE11" s="1085" t="s">
        <v>163</v>
      </c>
      <c r="EF11" s="140"/>
      <c r="EG11" s="141"/>
      <c r="EH11" s="1057">
        <v>40</v>
      </c>
      <c r="EI11" s="661"/>
      <c r="EJ11" s="141"/>
      <c r="EK11" s="1057">
        <v>13</v>
      </c>
      <c r="EL11" s="142"/>
      <c r="EM11" s="141"/>
      <c r="EN11" s="1068">
        <v>48</v>
      </c>
      <c r="FB11" s="1372"/>
      <c r="FC11" s="1372"/>
      <c r="FD11" s="1372"/>
      <c r="FE11" s="1372"/>
      <c r="FG11" s="676" t="s">
        <v>1287</v>
      </c>
      <c r="FH11" s="1999">
        <f t="shared" si="0"/>
        <v>0.36199999999999999</v>
      </c>
      <c r="FI11" s="2001">
        <v>362</v>
      </c>
      <c r="FJ11" s="69"/>
      <c r="FK11" s="1999">
        <f t="shared" si="1"/>
        <v>0.495</v>
      </c>
      <c r="FL11" s="2001">
        <v>495</v>
      </c>
      <c r="FM11" s="69"/>
      <c r="FN11" s="1999">
        <f t="shared" si="2"/>
        <v>0.373</v>
      </c>
      <c r="FO11" s="2001">
        <v>373</v>
      </c>
      <c r="FP11" s="69"/>
      <c r="FR11" s="32"/>
      <c r="FS11" s="32"/>
      <c r="FT11" s="841" t="s">
        <v>559</v>
      </c>
      <c r="FU11" s="841"/>
      <c r="FV11" s="841"/>
      <c r="FW11" s="841"/>
      <c r="FX11" s="841"/>
      <c r="FY11" s="841"/>
      <c r="FZ11" s="841"/>
      <c r="GA11" s="841"/>
      <c r="GN11" s="1372"/>
      <c r="GO11" s="1372"/>
      <c r="GP11" s="1372"/>
    </row>
    <row r="12" spans="1:198" ht="12.75" customHeight="1" thickTop="1" x14ac:dyDescent="0.2">
      <c r="A12" s="1158" t="s">
        <v>596</v>
      </c>
      <c r="C12" s="603"/>
      <c r="D12" s="603"/>
      <c r="E12" s="603"/>
      <c r="F12" s="605"/>
      <c r="H12" s="819"/>
      <c r="I12" s="811"/>
      <c r="J12" s="613" t="s">
        <v>293</v>
      </c>
      <c r="K12" s="1417">
        <v>68</v>
      </c>
      <c r="L12"/>
      <c r="M12"/>
      <c r="N12"/>
      <c r="O12"/>
      <c r="P12"/>
      <c r="Q12"/>
      <c r="R12"/>
      <c r="S12"/>
      <c r="T12" s="818"/>
      <c r="AD12" t="s">
        <v>1723</v>
      </c>
      <c r="AE12" s="934">
        <v>0.5</v>
      </c>
      <c r="AF12" s="934">
        <v>1.23</v>
      </c>
      <c r="AH12" s="3475"/>
      <c r="AI12" s="613" t="s">
        <v>734</v>
      </c>
      <c r="AJ12" s="938">
        <v>8</v>
      </c>
      <c r="AK12" s="938">
        <v>7</v>
      </c>
      <c r="AL12" s="939">
        <v>40</v>
      </c>
      <c r="AQ12" s="188" t="s">
        <v>693</v>
      </c>
      <c r="AR12" s="221" t="s">
        <v>704</v>
      </c>
      <c r="AS12" s="1941">
        <v>13</v>
      </c>
      <c r="AT12" s="934">
        <v>4.2</v>
      </c>
      <c r="AU12" s="936">
        <v>12</v>
      </c>
      <c r="AV12" s="1942">
        <v>11.5</v>
      </c>
      <c r="AW12" s="1942">
        <v>4</v>
      </c>
      <c r="AX12" s="1942">
        <v>12</v>
      </c>
      <c r="BC12" t="s">
        <v>2287</v>
      </c>
      <c r="BD12" s="1107">
        <v>750</v>
      </c>
      <c r="BE12" s="1107">
        <v>23</v>
      </c>
      <c r="BF12" s="1107">
        <v>5.5</v>
      </c>
      <c r="BG12" s="1107">
        <v>30</v>
      </c>
      <c r="BI12" s="1442" t="s">
        <v>1176</v>
      </c>
      <c r="BJ12" s="1527">
        <v>420</v>
      </c>
      <c r="BK12" s="1527">
        <v>5.6</v>
      </c>
      <c r="BL12" s="1527">
        <v>2.2999999999999998</v>
      </c>
      <c r="BM12" s="1527">
        <v>13</v>
      </c>
      <c r="BU12" s="630" t="s">
        <v>1832</v>
      </c>
      <c r="BV12" s="1961">
        <f>10*17.5/6.25</f>
        <v>28</v>
      </c>
      <c r="BW12" s="1962">
        <f>10*0.48*2.29</f>
        <v>10.991999999999999</v>
      </c>
      <c r="BX12" s="1962">
        <v>8</v>
      </c>
      <c r="BY12"/>
      <c r="CL12" s="605"/>
      <c r="CR12" s="120"/>
      <c r="CS12" s="127">
        <v>6</v>
      </c>
      <c r="CT12" s="434"/>
      <c r="CU12" s="261"/>
      <c r="CV12" s="953">
        <v>12</v>
      </c>
      <c r="CW12" s="953">
        <v>27</v>
      </c>
      <c r="CX12" s="204"/>
      <c r="CY12" s="946">
        <v>3.5</v>
      </c>
      <c r="CZ12" s="946">
        <v>6.5</v>
      </c>
      <c r="DA12" s="204"/>
      <c r="DB12" s="946">
        <v>26</v>
      </c>
      <c r="DC12" s="964">
        <v>38</v>
      </c>
      <c r="DD12" s="261"/>
      <c r="DE12" s="953">
        <v>12</v>
      </c>
      <c r="DF12" s="953">
        <v>27</v>
      </c>
      <c r="DG12" s="204"/>
      <c r="DH12" s="946">
        <v>3.5</v>
      </c>
      <c r="DI12" s="946">
        <v>6.5</v>
      </c>
      <c r="DJ12" s="204"/>
      <c r="DK12" s="946">
        <v>26</v>
      </c>
      <c r="DL12" s="964">
        <v>38</v>
      </c>
      <c r="DN12" s="61"/>
      <c r="DO12" s="51"/>
      <c r="DP12" s="51"/>
      <c r="DQ12" s="126">
        <v>6</v>
      </c>
      <c r="DR12" s="261"/>
      <c r="DS12" s="953">
        <v>25</v>
      </c>
      <c r="DT12" s="953">
        <v>37</v>
      </c>
      <c r="DU12" s="204"/>
      <c r="DV12" s="946">
        <v>8</v>
      </c>
      <c r="DW12" s="947">
        <v>16</v>
      </c>
      <c r="DX12" s="128"/>
      <c r="DY12" s="953">
        <v>34</v>
      </c>
      <c r="DZ12" s="997">
        <v>50</v>
      </c>
      <c r="EB12" s="120"/>
      <c r="EC12" s="68"/>
      <c r="ED12" s="366">
        <v>33</v>
      </c>
      <c r="EE12" s="109"/>
      <c r="EF12" s="125"/>
      <c r="EG12" s="938">
        <v>42</v>
      </c>
      <c r="EH12" s="938">
        <v>55</v>
      </c>
      <c r="EI12" s="204"/>
      <c r="EJ12" s="938">
        <v>13.5</v>
      </c>
      <c r="EK12" s="938">
        <v>17</v>
      </c>
      <c r="EL12" s="128"/>
      <c r="EM12" s="938">
        <v>42</v>
      </c>
      <c r="EN12" s="1066">
        <v>60</v>
      </c>
      <c r="EX12" s="1514"/>
      <c r="FA12" s="1364" t="s">
        <v>1985</v>
      </c>
      <c r="FG12" s="676" t="s">
        <v>1288</v>
      </c>
      <c r="FH12" s="1999">
        <f t="shared" ref="FH12:FH21" si="3">FI12/1000</f>
        <v>0.50700000000000001</v>
      </c>
      <c r="FI12" s="2001">
        <v>507</v>
      </c>
      <c r="FJ12" s="69"/>
      <c r="FK12" s="1999">
        <f t="shared" si="1"/>
        <v>0.66200000000000003</v>
      </c>
      <c r="FL12" s="2001">
        <v>662</v>
      </c>
      <c r="FM12" s="69"/>
      <c r="FN12" s="1999">
        <f t="shared" si="2"/>
        <v>0.54900000000000004</v>
      </c>
      <c r="FO12" s="2001">
        <v>549</v>
      </c>
      <c r="FP12" s="69"/>
      <c r="FR12" s="32"/>
      <c r="FS12" s="3450" t="s">
        <v>256</v>
      </c>
      <c r="FT12" s="3451"/>
      <c r="FU12" s="3453"/>
      <c r="FV12" s="3452" t="s">
        <v>257</v>
      </c>
      <c r="FW12" s="3451"/>
      <c r="FX12" s="3453"/>
      <c r="FY12" s="3452" t="s">
        <v>756</v>
      </c>
      <c r="FZ12" s="3451"/>
      <c r="GA12" s="3454"/>
      <c r="GN12" s="1372"/>
      <c r="GO12" s="1372"/>
      <c r="GP12" s="1372"/>
    </row>
    <row r="13" spans="1:198" ht="12.75" customHeight="1" thickBot="1" x14ac:dyDescent="0.25">
      <c r="A13" s="827" t="s">
        <v>671</v>
      </c>
      <c r="C13" s="1159"/>
      <c r="D13" s="607"/>
      <c r="E13" s="607"/>
      <c r="F13" s="607"/>
      <c r="H13" s="819"/>
      <c r="I13" s="811"/>
      <c r="J13" s="613" t="s">
        <v>417</v>
      </c>
      <c r="K13" s="1417">
        <v>25</v>
      </c>
      <c r="L13"/>
      <c r="M13"/>
      <c r="N13"/>
      <c r="O13"/>
      <c r="P13"/>
      <c r="Q13"/>
      <c r="R13"/>
      <c r="S13"/>
      <c r="T13" s="818"/>
      <c r="AD13" t="s">
        <v>1724</v>
      </c>
      <c r="AE13" s="934">
        <v>0.68</v>
      </c>
      <c r="AF13" s="934">
        <v>1.3</v>
      </c>
      <c r="AH13" s="604"/>
      <c r="AI13" s="605" t="s">
        <v>713</v>
      </c>
      <c r="AJ13" s="938">
        <v>8</v>
      </c>
      <c r="AK13" s="938">
        <v>8</v>
      </c>
      <c r="AL13" s="939">
        <v>40</v>
      </c>
      <c r="AQ13" s="188" t="s">
        <v>694</v>
      </c>
      <c r="AR13" s="221" t="s">
        <v>703</v>
      </c>
      <c r="AS13" s="1941">
        <v>6.5</v>
      </c>
      <c r="AT13" s="934">
        <v>2.2999999999999998</v>
      </c>
      <c r="AU13" s="936">
        <v>3.5</v>
      </c>
      <c r="AV13" s="1942">
        <v>4.5</v>
      </c>
      <c r="AW13" s="1942">
        <v>1.5</v>
      </c>
      <c r="AX13" s="1942">
        <v>2.8</v>
      </c>
      <c r="BC13" t="s">
        <v>2288</v>
      </c>
      <c r="BD13" s="1107">
        <v>700</v>
      </c>
      <c r="BE13" s="1107">
        <v>20</v>
      </c>
      <c r="BF13" s="1107">
        <v>5</v>
      </c>
      <c r="BG13" s="1107">
        <v>25</v>
      </c>
      <c r="BI13" s="1442" t="s">
        <v>1177</v>
      </c>
      <c r="BJ13" s="1527">
        <v>580</v>
      </c>
      <c r="BK13" s="1527">
        <v>16</v>
      </c>
      <c r="BL13" s="1527">
        <v>2.2999999999999998</v>
      </c>
      <c r="BM13" s="1527">
        <v>13</v>
      </c>
      <c r="BU13" s="630" t="s">
        <v>1833</v>
      </c>
      <c r="BV13" s="1961">
        <f>10*16.5/6.25</f>
        <v>26.4</v>
      </c>
      <c r="BW13" s="1962">
        <f>10*0.48*2.29</f>
        <v>10.991999999999999</v>
      </c>
      <c r="BX13" s="1962">
        <v>6.6</v>
      </c>
      <c r="BY13"/>
      <c r="CA13" s="3486" t="str">
        <f ca="1">CELL("adresse",VLCalendrier!K59)</f>
        <v>'[Bilagreau7 exemple.xlsm]VLCalendrier'!$K$59</v>
      </c>
      <c r="CB13" s="3486"/>
      <c r="CC13" s="3486"/>
      <c r="CD13" s="3486"/>
      <c r="CE13" s="3486"/>
      <c r="CF13" s="3486"/>
      <c r="CG13" s="3486"/>
      <c r="CH13" s="3486"/>
      <c r="CI13" s="3486"/>
      <c r="CJ13" s="3486"/>
      <c r="CK13" s="3486"/>
      <c r="CL13" s="3486"/>
      <c r="CM13" s="3486"/>
      <c r="CR13" s="262"/>
      <c r="CS13" s="437">
        <v>7</v>
      </c>
      <c r="CT13" s="438"/>
      <c r="CU13" s="263"/>
      <c r="CV13" s="958">
        <v>16</v>
      </c>
      <c r="CW13" s="958">
        <v>29</v>
      </c>
      <c r="CX13" s="206"/>
      <c r="CY13" s="962">
        <v>4.5</v>
      </c>
      <c r="CZ13" s="962">
        <v>7</v>
      </c>
      <c r="DA13" s="206"/>
      <c r="DB13" s="962">
        <v>31</v>
      </c>
      <c r="DC13" s="966">
        <v>40</v>
      </c>
      <c r="DD13" s="263"/>
      <c r="DE13" s="958">
        <v>16</v>
      </c>
      <c r="DF13" s="958">
        <v>29</v>
      </c>
      <c r="DG13" s="206"/>
      <c r="DH13" s="962">
        <v>4.5</v>
      </c>
      <c r="DI13" s="962">
        <v>7</v>
      </c>
      <c r="DJ13" s="206"/>
      <c r="DK13" s="962">
        <v>31</v>
      </c>
      <c r="DL13" s="966">
        <v>40</v>
      </c>
      <c r="DN13" s="61"/>
      <c r="DO13" s="51"/>
      <c r="DP13" s="51"/>
      <c r="DQ13" s="126">
        <v>7</v>
      </c>
      <c r="DR13" s="261"/>
      <c r="DS13" s="953">
        <v>28</v>
      </c>
      <c r="DT13" s="953">
        <v>39</v>
      </c>
      <c r="DU13" s="204"/>
      <c r="DV13" s="946">
        <v>9</v>
      </c>
      <c r="DW13" s="947">
        <v>17</v>
      </c>
      <c r="DX13" s="128"/>
      <c r="DY13" s="953">
        <v>40</v>
      </c>
      <c r="DZ13" s="997">
        <v>54</v>
      </c>
      <c r="EB13" s="120"/>
      <c r="EC13" s="68"/>
      <c r="ED13" s="459">
        <v>36</v>
      </c>
      <c r="EE13" s="1083"/>
      <c r="EF13" s="146"/>
      <c r="EG13" s="1058">
        <v>45</v>
      </c>
      <c r="EH13" s="1058">
        <v>69</v>
      </c>
      <c r="EI13" s="662"/>
      <c r="EJ13" s="1058">
        <v>15</v>
      </c>
      <c r="EK13" s="1058">
        <v>28</v>
      </c>
      <c r="EL13" s="148"/>
      <c r="EM13" s="1058">
        <v>65</v>
      </c>
      <c r="EN13" s="1069">
        <v>92</v>
      </c>
      <c r="FA13" s="1596" t="s">
        <v>1004</v>
      </c>
      <c r="FB13" s="1371">
        <v>3.38</v>
      </c>
      <c r="FC13" s="1371">
        <v>2.9</v>
      </c>
      <c r="FD13" s="1371">
        <v>2.0099999999999998</v>
      </c>
      <c r="FE13" s="1371">
        <v>1.82</v>
      </c>
      <c r="FG13" s="676" t="s">
        <v>1990</v>
      </c>
      <c r="FH13" s="1999">
        <f t="shared" si="3"/>
        <v>7.6999999999999999E-2</v>
      </c>
      <c r="FI13" s="2001">
        <v>77</v>
      </c>
      <c r="FJ13" s="69"/>
      <c r="FK13" s="1999">
        <f t="shared" si="1"/>
        <v>6.2E-2</v>
      </c>
      <c r="FL13" s="2001">
        <v>62</v>
      </c>
      <c r="FM13" s="69"/>
      <c r="FN13" s="1999">
        <f t="shared" si="2"/>
        <v>5.8000000000000003E-2</v>
      </c>
      <c r="FO13" s="2001">
        <v>58</v>
      </c>
      <c r="FP13" s="69"/>
      <c r="FR13" s="32"/>
      <c r="FS13" s="110" t="s">
        <v>249</v>
      </c>
      <c r="FT13" s="36" t="s">
        <v>247</v>
      </c>
      <c r="FU13" s="36"/>
      <c r="FV13" s="35" t="s">
        <v>249</v>
      </c>
      <c r="FW13" s="36" t="s">
        <v>247</v>
      </c>
      <c r="FX13" s="37"/>
      <c r="FY13" s="35" t="s">
        <v>249</v>
      </c>
      <c r="FZ13" s="36" t="s">
        <v>247</v>
      </c>
      <c r="GA13" s="109"/>
      <c r="GN13" s="1372"/>
      <c r="GO13" s="1372"/>
      <c r="GP13" s="1372"/>
    </row>
    <row r="14" spans="1:198" ht="12.75" customHeight="1" thickTop="1" thickBot="1" x14ac:dyDescent="0.25">
      <c r="A14" s="1158" t="s">
        <v>22</v>
      </c>
      <c r="C14" s="1039"/>
      <c r="D14" s="1686"/>
      <c r="E14" s="621" t="s">
        <v>562</v>
      </c>
      <c r="F14" s="621" t="s">
        <v>563</v>
      </c>
      <c r="G14" s="604"/>
      <c r="H14" s="819"/>
      <c r="I14" s="811"/>
      <c r="J14" s="613" t="s">
        <v>418</v>
      </c>
      <c r="K14" s="1417">
        <v>42.5</v>
      </c>
      <c r="L14"/>
      <c r="M14"/>
      <c r="N14"/>
      <c r="O14"/>
      <c r="P14"/>
      <c r="Q14"/>
      <c r="R14"/>
      <c r="S14"/>
      <c r="T14" s="818"/>
      <c r="AD14" t="s">
        <v>1726</v>
      </c>
      <c r="AE14" s="934">
        <v>0.6</v>
      </c>
      <c r="AF14" s="2107">
        <v>0.7</v>
      </c>
      <c r="AH14" s="607"/>
      <c r="AI14" s="607" t="s">
        <v>831</v>
      </c>
      <c r="AJ14" s="940">
        <v>8</v>
      </c>
      <c r="AK14" s="940">
        <v>6</v>
      </c>
      <c r="AL14" s="941">
        <v>30</v>
      </c>
      <c r="AQ14" s="188" t="s">
        <v>695</v>
      </c>
      <c r="AR14" s="221" t="s">
        <v>703</v>
      </c>
      <c r="AS14" s="1941">
        <v>4.5</v>
      </c>
      <c r="AT14" s="934">
        <v>1.5</v>
      </c>
      <c r="AU14" s="936">
        <v>2</v>
      </c>
      <c r="AV14" s="1942">
        <v>2.8</v>
      </c>
      <c r="AW14" s="1942">
        <v>1.5</v>
      </c>
      <c r="AX14" s="1942">
        <v>2</v>
      </c>
      <c r="BB14" s="1281" t="s">
        <v>512</v>
      </c>
      <c r="BD14" s="1107">
        <v>800</v>
      </c>
      <c r="BE14" s="1107">
        <v>24</v>
      </c>
      <c r="BF14" s="1107">
        <v>8.5</v>
      </c>
      <c r="BG14" s="1107">
        <v>35</v>
      </c>
      <c r="BU14" s="630" t="s">
        <v>1834</v>
      </c>
      <c r="BV14" s="1961">
        <f>10*15/6.25</f>
        <v>24</v>
      </c>
      <c r="BW14" s="1962">
        <f>10*0.44*2.29</f>
        <v>10.076000000000001</v>
      </c>
      <c r="BX14" s="1962">
        <v>7.3</v>
      </c>
      <c r="BY14"/>
      <c r="CB14" s="605"/>
      <c r="CC14" s="605"/>
      <c r="CD14" s="605"/>
      <c r="CE14" s="605"/>
      <c r="CF14" s="605"/>
      <c r="CG14" s="36" t="s">
        <v>186</v>
      </c>
      <c r="CH14" s="621"/>
      <c r="CI14" s="36" t="s">
        <v>187</v>
      </c>
      <c r="CJ14" s="621"/>
      <c r="CK14" s="36" t="s">
        <v>665</v>
      </c>
      <c r="CL14" s="604"/>
      <c r="CR14" s="252" t="s">
        <v>264</v>
      </c>
      <c r="CS14" s="117" t="s">
        <v>273</v>
      </c>
      <c r="CT14" s="430"/>
      <c r="CU14" s="256"/>
      <c r="CV14" s="959">
        <v>0</v>
      </c>
      <c r="CW14" s="959">
        <v>32</v>
      </c>
      <c r="CX14" s="210"/>
      <c r="CY14" s="960">
        <v>0</v>
      </c>
      <c r="CZ14" s="960">
        <v>17</v>
      </c>
      <c r="DA14" s="210"/>
      <c r="DB14" s="960">
        <v>0</v>
      </c>
      <c r="DC14" s="963">
        <v>54</v>
      </c>
      <c r="DD14" s="256"/>
      <c r="DE14" s="959">
        <v>0</v>
      </c>
      <c r="DF14" s="959">
        <v>27</v>
      </c>
      <c r="DG14" s="210"/>
      <c r="DH14" s="960">
        <v>0</v>
      </c>
      <c r="DI14" s="960">
        <v>14</v>
      </c>
      <c r="DJ14" s="210"/>
      <c r="DK14" s="960">
        <v>0</v>
      </c>
      <c r="DL14" s="963">
        <v>52</v>
      </c>
      <c r="DN14" s="61"/>
      <c r="DO14" s="177"/>
      <c r="DP14" s="177"/>
      <c r="DQ14" s="152">
        <v>8</v>
      </c>
      <c r="DR14" s="272"/>
      <c r="DS14" s="955">
        <v>32</v>
      </c>
      <c r="DT14" s="955">
        <v>41</v>
      </c>
      <c r="DU14" s="274"/>
      <c r="DV14" s="948">
        <v>10</v>
      </c>
      <c r="DW14" s="949">
        <v>17</v>
      </c>
      <c r="DX14" s="153"/>
      <c r="DY14" s="955">
        <v>46</v>
      </c>
      <c r="DZ14" s="1000">
        <v>57</v>
      </c>
      <c r="EB14" s="80" t="s">
        <v>351</v>
      </c>
      <c r="EC14" s="81">
        <v>2</v>
      </c>
      <c r="ED14" s="1086"/>
      <c r="EE14" s="1076"/>
      <c r="EF14" s="150"/>
      <c r="EG14" s="940">
        <v>27</v>
      </c>
      <c r="EH14" s="940">
        <v>42</v>
      </c>
      <c r="EI14" s="274"/>
      <c r="EJ14" s="940">
        <v>8.5</v>
      </c>
      <c r="EK14" s="940">
        <v>13</v>
      </c>
      <c r="EL14" s="153"/>
      <c r="EM14" s="940">
        <v>45</v>
      </c>
      <c r="EN14" s="1070">
        <v>60</v>
      </c>
      <c r="FA14" s="1596" t="s">
        <v>1005</v>
      </c>
      <c r="FB14" s="1374">
        <f>FB9*FB$13/FB$8</f>
        <v>4.3716088328075706</v>
      </c>
      <c r="FC14" s="1374">
        <f>FB14*FC$13/FB$13</f>
        <v>3.7507886435331228</v>
      </c>
      <c r="FD14" s="1374">
        <f>FD9*FD$13/FD$8</f>
        <v>2.2470283018867923</v>
      </c>
      <c r="FE14" s="1374">
        <f>FE9*FE$13/FE$8</f>
        <v>2.5001052631578946</v>
      </c>
      <c r="FG14" s="676" t="s">
        <v>1989</v>
      </c>
      <c r="FH14" s="1999">
        <f t="shared" si="3"/>
        <v>0.08</v>
      </c>
      <c r="FI14" s="2001">
        <v>80</v>
      </c>
      <c r="FJ14" s="69"/>
      <c r="FK14" s="1999">
        <f t="shared" si="1"/>
        <v>6.5000000000000002E-2</v>
      </c>
      <c r="FL14" s="2001">
        <v>65</v>
      </c>
      <c r="FM14" s="69"/>
      <c r="FN14" s="1999">
        <f t="shared" si="2"/>
        <v>6.0999999999999999E-2</v>
      </c>
      <c r="FO14" s="2001">
        <v>61</v>
      </c>
      <c r="FP14" s="69"/>
      <c r="FR14" s="32"/>
      <c r="FS14" s="112" t="s">
        <v>248</v>
      </c>
      <c r="FT14" s="39" t="s">
        <v>246</v>
      </c>
      <c r="FU14" s="39" t="s">
        <v>244</v>
      </c>
      <c r="FV14" s="38" t="s">
        <v>248</v>
      </c>
      <c r="FW14" s="39" t="s">
        <v>246</v>
      </c>
      <c r="FX14" s="40" t="s">
        <v>244</v>
      </c>
      <c r="FY14" s="38" t="s">
        <v>248</v>
      </c>
      <c r="FZ14" s="39" t="s">
        <v>246</v>
      </c>
      <c r="GA14" s="113" t="s">
        <v>244</v>
      </c>
      <c r="GN14" s="1372"/>
      <c r="GO14" s="1372"/>
      <c r="GP14" s="1372"/>
    </row>
    <row r="15" spans="1:198" ht="12.75" customHeight="1" thickTop="1" x14ac:dyDescent="0.2">
      <c r="A15" s="827" t="s">
        <v>671</v>
      </c>
      <c r="C15" s="1039"/>
      <c r="D15" s="605"/>
      <c r="E15" s="621" t="s">
        <v>926</v>
      </c>
      <c r="F15" s="621" t="s">
        <v>927</v>
      </c>
      <c r="G15" s="604"/>
      <c r="H15" s="819"/>
      <c r="I15" s="811"/>
      <c r="J15" s="613" t="s">
        <v>419</v>
      </c>
      <c r="K15" s="1417">
        <v>54</v>
      </c>
      <c r="L15"/>
      <c r="M15"/>
      <c r="N15"/>
      <c r="O15"/>
      <c r="P15"/>
      <c r="Q15"/>
      <c r="R15"/>
      <c r="S15"/>
      <c r="T15" s="818"/>
      <c r="AD15" t="s">
        <v>1725</v>
      </c>
      <c r="AE15" s="934">
        <v>0.85</v>
      </c>
      <c r="AF15" s="2107">
        <v>1.3</v>
      </c>
      <c r="AH15" s="607"/>
      <c r="AI15" s="607"/>
      <c r="AJ15" s="607"/>
      <c r="AK15" s="607"/>
      <c r="AQ15" s="2007" t="s">
        <v>2399</v>
      </c>
      <c r="AR15" s="221" t="s">
        <v>703</v>
      </c>
      <c r="AS15" s="1941">
        <v>1.6</v>
      </c>
      <c r="AT15" s="934">
        <v>1</v>
      </c>
      <c r="AU15" s="936">
        <v>2.5</v>
      </c>
      <c r="AV15" s="1942">
        <v>2</v>
      </c>
      <c r="AW15" s="1942">
        <v>1.4</v>
      </c>
      <c r="AX15" s="1942">
        <v>0.8</v>
      </c>
      <c r="BB15" t="s">
        <v>51</v>
      </c>
      <c r="BI15" s="1678" t="str">
        <f ca="1">CELL("adresse",Achats!AG46)</f>
        <v>'[Bilagreau7 exemple.xlsm]Achats'!$AG$46</v>
      </c>
      <c r="BJ15" s="1553"/>
      <c r="BK15" s="1553"/>
      <c r="BL15" s="1682"/>
      <c r="BM15" s="1954"/>
      <c r="BV15" s="3463" t="s">
        <v>1894</v>
      </c>
      <c r="BW15" s="3463"/>
      <c r="BX15" s="3463"/>
      <c r="BY15"/>
      <c r="CA15" s="931" t="s">
        <v>153</v>
      </c>
      <c r="CB15" s="821"/>
      <c r="CC15" s="821"/>
      <c r="CD15" s="821"/>
      <c r="CE15" s="821"/>
      <c r="CF15" s="605"/>
      <c r="CG15" s="938">
        <v>7.0000000000000001E-3</v>
      </c>
      <c r="CH15" s="621"/>
      <c r="CI15" s="938">
        <v>2E-3</v>
      </c>
      <c r="CJ15" s="621"/>
      <c r="CK15" s="1213">
        <v>1.8E-3</v>
      </c>
      <c r="CL15" s="604"/>
      <c r="CR15" s="257">
        <v>2</v>
      </c>
      <c r="CS15" s="127" t="s">
        <v>274</v>
      </c>
      <c r="CT15" s="434"/>
      <c r="CU15" s="261"/>
      <c r="CV15" s="953">
        <v>0</v>
      </c>
      <c r="CW15" s="953">
        <v>43</v>
      </c>
      <c r="CX15" s="204"/>
      <c r="CY15" s="946">
        <v>0</v>
      </c>
      <c r="CZ15" s="946">
        <v>17</v>
      </c>
      <c r="DA15" s="204"/>
      <c r="DB15" s="946">
        <v>0</v>
      </c>
      <c r="DC15" s="964">
        <v>73</v>
      </c>
      <c r="DD15" s="261"/>
      <c r="DE15" s="953">
        <v>0</v>
      </c>
      <c r="DF15" s="953">
        <v>36</v>
      </c>
      <c r="DG15" s="204"/>
      <c r="DH15" s="946">
        <v>0</v>
      </c>
      <c r="DI15" s="946">
        <v>14</v>
      </c>
      <c r="DJ15" s="204"/>
      <c r="DK15" s="946">
        <v>0</v>
      </c>
      <c r="DL15" s="964">
        <v>55</v>
      </c>
      <c r="DN15" s="61"/>
      <c r="DO15" s="51">
        <v>3</v>
      </c>
      <c r="DP15" s="276" t="s">
        <v>357</v>
      </c>
      <c r="DQ15" s="126" t="s">
        <v>258</v>
      </c>
      <c r="DR15" s="270"/>
      <c r="DS15" s="989">
        <v>0</v>
      </c>
      <c r="DT15" s="989">
        <v>17</v>
      </c>
      <c r="DU15" s="214"/>
      <c r="DV15" s="993">
        <v>0</v>
      </c>
      <c r="DW15" s="952">
        <v>11</v>
      </c>
      <c r="DX15" s="215"/>
      <c r="DY15" s="989">
        <v>0</v>
      </c>
      <c r="DZ15" s="999">
        <v>27</v>
      </c>
      <c r="EB15" s="61"/>
      <c r="EC15" s="51">
        <v>3</v>
      </c>
      <c r="ED15" s="366">
        <v>30</v>
      </c>
      <c r="EE15" s="109" t="s">
        <v>183</v>
      </c>
      <c r="EF15" s="125"/>
      <c r="EG15" s="938">
        <v>0</v>
      </c>
      <c r="EH15" s="938">
        <v>22</v>
      </c>
      <c r="EI15" s="204"/>
      <c r="EJ15" s="938">
        <v>0</v>
      </c>
      <c r="EK15" s="938">
        <v>6</v>
      </c>
      <c r="EL15" s="128"/>
      <c r="EM15" s="938">
        <v>0</v>
      </c>
      <c r="EN15" s="1066">
        <v>22</v>
      </c>
      <c r="FA15" s="1365" t="s">
        <v>2002</v>
      </c>
      <c r="FB15" s="1379">
        <v>3.9E-2</v>
      </c>
      <c r="FC15" s="1379">
        <v>3.3000000000000002E-2</v>
      </c>
      <c r="FD15" s="1380">
        <v>2.4E-2</v>
      </c>
      <c r="FE15" s="1380">
        <v>2.1000000000000001E-2</v>
      </c>
      <c r="FG15" s="676" t="s">
        <v>519</v>
      </c>
      <c r="FH15" s="1999">
        <f t="shared" si="3"/>
        <v>2.1000000000000001E-2</v>
      </c>
      <c r="FI15" s="2001">
        <v>21</v>
      </c>
      <c r="FJ15" s="69"/>
      <c r="FK15" s="1999">
        <f t="shared" si="1"/>
        <v>8.9999999999999993E-3</v>
      </c>
      <c r="FL15" s="2001">
        <v>9</v>
      </c>
      <c r="FM15" s="69"/>
      <c r="FN15" s="1999">
        <f t="shared" si="2"/>
        <v>2.3E-2</v>
      </c>
      <c r="FO15" s="2001">
        <v>23</v>
      </c>
      <c r="FP15" s="69"/>
      <c r="FR15" s="675" t="s">
        <v>555</v>
      </c>
      <c r="FS15" s="1087">
        <v>3.46</v>
      </c>
      <c r="FT15" s="600"/>
      <c r="FU15" s="600"/>
      <c r="FV15" s="1102">
        <v>3.6850000000000001</v>
      </c>
      <c r="FW15" s="600"/>
      <c r="FX15" s="601"/>
      <c r="FY15" s="1091">
        <v>3.7</v>
      </c>
      <c r="FZ15" s="600"/>
      <c r="GA15" s="678"/>
      <c r="GN15" s="1372"/>
      <c r="GO15" s="1372"/>
      <c r="GP15" s="1372"/>
    </row>
    <row r="16" spans="1:198" ht="12.75" customHeight="1" thickBot="1" x14ac:dyDescent="0.25">
      <c r="A16" s="1158" t="s">
        <v>805</v>
      </c>
      <c r="C16" s="1040" t="str">
        <f ca="1">CELL("adresse",Saisies_Exploitation!AE48)</f>
        <v>'[Bilagreau7 exemple.xlsm]Saisies_Exploitation'!$AE$48</v>
      </c>
      <c r="D16" s="821" t="s">
        <v>959</v>
      </c>
      <c r="E16" s="934">
        <v>0.75</v>
      </c>
      <c r="F16" s="934">
        <v>0.6</v>
      </c>
      <c r="G16" s="604"/>
      <c r="H16" s="819"/>
      <c r="I16" s="811" t="s">
        <v>420</v>
      </c>
      <c r="J16" s="613"/>
      <c r="K16" s="1418"/>
      <c r="L16"/>
      <c r="M16"/>
      <c r="N16"/>
      <c r="O16"/>
      <c r="P16"/>
      <c r="Q16"/>
      <c r="R16"/>
      <c r="S16"/>
      <c r="T16" s="818"/>
      <c r="AD16" t="s">
        <v>1728</v>
      </c>
      <c r="AE16" s="934">
        <v>1.3</v>
      </c>
      <c r="AF16" s="2107">
        <v>1.7</v>
      </c>
      <c r="AH16" s="605"/>
      <c r="AI16" s="605" t="s">
        <v>133</v>
      </c>
      <c r="AJ16" s="3495" t="s">
        <v>127</v>
      </c>
      <c r="AK16" s="3495"/>
      <c r="AL16" s="3496" t="s">
        <v>128</v>
      </c>
      <c r="AM16" s="3497"/>
      <c r="AN16" s="3457" t="s">
        <v>129</v>
      </c>
      <c r="AO16" s="3458"/>
      <c r="AQ16" s="188" t="s">
        <v>701</v>
      </c>
      <c r="AR16" s="221" t="s">
        <v>703</v>
      </c>
      <c r="AS16" s="1941">
        <v>0</v>
      </c>
      <c r="AT16" s="934">
        <v>1.25</v>
      </c>
      <c r="AU16" s="936">
        <v>2</v>
      </c>
      <c r="AV16" s="1942">
        <v>7</v>
      </c>
      <c r="AW16" s="1942">
        <v>1.2</v>
      </c>
      <c r="AX16" s="1942">
        <v>1.8</v>
      </c>
      <c r="BB16" t="s">
        <v>511</v>
      </c>
      <c r="BD16" s="1107">
        <v>800</v>
      </c>
      <c r="BE16" s="1107">
        <v>26</v>
      </c>
      <c r="BF16" s="1107">
        <v>6.5</v>
      </c>
      <c r="BG16" s="1107">
        <v>35</v>
      </c>
      <c r="BI16" s="827" t="s">
        <v>1272</v>
      </c>
      <c r="BJ16" s="1496" t="s">
        <v>1172</v>
      </c>
      <c r="BK16" s="1496" t="s">
        <v>1173</v>
      </c>
      <c r="BL16" s="1496" t="s">
        <v>1373</v>
      </c>
      <c r="BM16" s="1955" t="s">
        <v>1898</v>
      </c>
      <c r="BU16" s="850" t="s">
        <v>442</v>
      </c>
      <c r="BV16" s="1959" t="s">
        <v>625</v>
      </c>
      <c r="BW16" s="1959" t="s">
        <v>187</v>
      </c>
      <c r="BX16" s="1959" t="s">
        <v>665</v>
      </c>
      <c r="BY16"/>
      <c r="CA16" s="932" t="s">
        <v>45</v>
      </c>
      <c r="CB16" s="822"/>
      <c r="CC16" s="822"/>
      <c r="CD16" s="822"/>
      <c r="CE16" s="822"/>
      <c r="CF16" s="822"/>
      <c r="CG16" s="822"/>
      <c r="CH16" s="822"/>
      <c r="CI16" s="822"/>
      <c r="CJ16" s="822"/>
      <c r="CK16" s="1251"/>
      <c r="CR16" s="257" t="s">
        <v>278</v>
      </c>
      <c r="CS16" s="127" t="s">
        <v>275</v>
      </c>
      <c r="CT16" s="434"/>
      <c r="CU16" s="261"/>
      <c r="CV16" s="953">
        <v>0</v>
      </c>
      <c r="CW16" s="953">
        <v>38</v>
      </c>
      <c r="CX16" s="204"/>
      <c r="CY16" s="946">
        <v>0</v>
      </c>
      <c r="CZ16" s="946">
        <v>18</v>
      </c>
      <c r="DA16" s="204"/>
      <c r="DB16" s="946">
        <v>0</v>
      </c>
      <c r="DC16" s="964">
        <v>48</v>
      </c>
      <c r="DD16" s="261"/>
      <c r="DE16" s="953">
        <v>0</v>
      </c>
      <c r="DF16" s="953">
        <v>32</v>
      </c>
      <c r="DG16" s="204"/>
      <c r="DH16" s="946">
        <v>0</v>
      </c>
      <c r="DI16" s="946">
        <v>16</v>
      </c>
      <c r="DJ16" s="204"/>
      <c r="DK16" s="946">
        <v>0</v>
      </c>
      <c r="DL16" s="964">
        <v>45</v>
      </c>
      <c r="DN16" s="61"/>
      <c r="DO16" s="51"/>
      <c r="DP16" s="51"/>
      <c r="DQ16" s="126" t="s">
        <v>358</v>
      </c>
      <c r="DR16" s="261"/>
      <c r="DS16" s="953">
        <v>33</v>
      </c>
      <c r="DT16" s="953">
        <v>33</v>
      </c>
      <c r="DU16" s="204"/>
      <c r="DV16" s="946">
        <v>11</v>
      </c>
      <c r="DW16" s="947">
        <v>11</v>
      </c>
      <c r="DX16" s="128"/>
      <c r="DY16" s="953">
        <v>50</v>
      </c>
      <c r="DZ16" s="997">
        <v>50</v>
      </c>
      <c r="EB16" s="61"/>
      <c r="EC16" s="51"/>
      <c r="ED16" s="366"/>
      <c r="EE16" s="109" t="s">
        <v>163</v>
      </c>
      <c r="EF16" s="125"/>
      <c r="EG16" s="68"/>
      <c r="EH16" s="938">
        <v>37</v>
      </c>
      <c r="EI16" s="204"/>
      <c r="EJ16" s="68"/>
      <c r="EK16" s="938">
        <v>12</v>
      </c>
      <c r="EL16" s="128"/>
      <c r="EM16" s="68"/>
      <c r="EN16" s="1066">
        <v>46</v>
      </c>
      <c r="FA16" s="2009" t="s">
        <v>2017</v>
      </c>
      <c r="FB16" s="1371">
        <v>0.56999999999999995</v>
      </c>
      <c r="FC16" s="1371">
        <v>0.5</v>
      </c>
      <c r="FG16" s="676" t="s">
        <v>798</v>
      </c>
      <c r="FH16" s="1999">
        <f t="shared" si="3"/>
        <v>2.8000000000000001E-2</v>
      </c>
      <c r="FI16" s="2001">
        <v>28</v>
      </c>
      <c r="FJ16" s="69"/>
      <c r="FK16" s="1999">
        <f t="shared" si="1"/>
        <v>1.4999999999999999E-2</v>
      </c>
      <c r="FL16" s="2001">
        <v>15</v>
      </c>
      <c r="FM16" s="69"/>
      <c r="FN16" s="1999">
        <f t="shared" si="2"/>
        <v>0.03</v>
      </c>
      <c r="FO16" s="2001">
        <v>30</v>
      </c>
      <c r="FP16" s="69"/>
      <c r="FR16" s="680" t="s">
        <v>556</v>
      </c>
      <c r="FS16" s="1088">
        <v>1.04</v>
      </c>
      <c r="FT16" s="686"/>
      <c r="FU16" s="686"/>
      <c r="FV16" s="1090">
        <v>1.575</v>
      </c>
      <c r="FW16" s="686"/>
      <c r="FX16" s="687"/>
      <c r="FY16" s="1092">
        <v>1.53</v>
      </c>
      <c r="FZ16" s="686"/>
      <c r="GA16" s="688"/>
      <c r="GN16" s="1372"/>
      <c r="GO16" s="1372"/>
      <c r="GP16" s="1372"/>
    </row>
    <row r="17" spans="1:198" ht="12.75" customHeight="1" thickTop="1" x14ac:dyDescent="0.2">
      <c r="A17" s="827" t="s">
        <v>671</v>
      </c>
      <c r="C17" s="1038" t="str">
        <f ca="1">CELL("adresse",Saisies_Exploitation!AE49)</f>
        <v>'[Bilagreau7 exemple.xlsm]Saisies_Exploitation'!$AE$49</v>
      </c>
      <c r="D17" s="822" t="s">
        <v>960</v>
      </c>
      <c r="E17" s="935">
        <v>0.8</v>
      </c>
      <c r="F17" s="935">
        <v>0.8</v>
      </c>
      <c r="G17" s="604"/>
      <c r="H17" s="819"/>
      <c r="I17" s="811" t="s">
        <v>421</v>
      </c>
      <c r="J17" s="613"/>
      <c r="K17" s="1418"/>
      <c r="L17"/>
      <c r="M17"/>
      <c r="N17"/>
      <c r="O17"/>
      <c r="P17"/>
      <c r="Q17"/>
      <c r="R17"/>
      <c r="S17"/>
      <c r="T17" s="818"/>
      <c r="AD17" t="s">
        <v>1727</v>
      </c>
      <c r="AE17" s="934">
        <v>1.25</v>
      </c>
      <c r="AF17" s="2107">
        <v>1.85</v>
      </c>
      <c r="AH17" s="605"/>
      <c r="AI17" s="605" t="s">
        <v>134</v>
      </c>
      <c r="AJ17" s="1220" t="s">
        <v>132</v>
      </c>
      <c r="AK17" s="1241"/>
      <c r="AL17" s="1239" t="s">
        <v>131</v>
      </c>
      <c r="AM17" s="1241"/>
      <c r="AN17" s="1239" t="s">
        <v>130</v>
      </c>
      <c r="AO17" s="1240"/>
      <c r="AQ17" s="188" t="s">
        <v>696</v>
      </c>
      <c r="AR17" s="221" t="s">
        <v>703</v>
      </c>
      <c r="AS17" s="1941">
        <v>0</v>
      </c>
      <c r="AT17" s="934">
        <v>0.9</v>
      </c>
      <c r="AU17" s="936">
        <v>1.5</v>
      </c>
      <c r="AV17" s="1942">
        <v>6.5</v>
      </c>
      <c r="AW17" s="1942">
        <v>0.8</v>
      </c>
      <c r="AX17" s="1942">
        <v>1.2</v>
      </c>
      <c r="BB17" t="s">
        <v>2274</v>
      </c>
      <c r="BC17" t="s">
        <v>2282</v>
      </c>
      <c r="BD17" s="1107">
        <v>850</v>
      </c>
      <c r="BE17" s="1107">
        <v>23</v>
      </c>
      <c r="BF17" s="1107">
        <v>6</v>
      </c>
      <c r="BG17" s="1107">
        <v>40</v>
      </c>
      <c r="BI17" s="1442" t="s">
        <v>1186</v>
      </c>
      <c r="BJ17" s="1527">
        <v>1000</v>
      </c>
      <c r="BK17" s="1527">
        <v>18</v>
      </c>
      <c r="BL17" s="1684">
        <v>7.5</v>
      </c>
      <c r="BM17" s="1684">
        <v>5</v>
      </c>
      <c r="BU17" s="1514" t="s">
        <v>1837</v>
      </c>
      <c r="BV17" s="1961">
        <f>10*16.7/6.25</f>
        <v>26.72</v>
      </c>
      <c r="BW17" s="1961">
        <f>10*0.49*2.29</f>
        <v>11.221000000000002</v>
      </c>
      <c r="BX17" s="1961">
        <f>10*0.73*1.2</f>
        <v>8.76</v>
      </c>
      <c r="BY17"/>
      <c r="CR17" s="257" t="s">
        <v>279</v>
      </c>
      <c r="CS17" s="130">
        <v>4</v>
      </c>
      <c r="CT17" s="133" t="s">
        <v>258</v>
      </c>
      <c r="CU17" s="277"/>
      <c r="CV17" s="957">
        <v>23</v>
      </c>
      <c r="CW17" s="957">
        <v>43</v>
      </c>
      <c r="CX17" s="279"/>
      <c r="CY17" s="961">
        <v>7.5</v>
      </c>
      <c r="CZ17" s="961">
        <v>18.5</v>
      </c>
      <c r="DA17" s="279"/>
      <c r="DB17" s="961">
        <v>27</v>
      </c>
      <c r="DC17" s="965">
        <v>61</v>
      </c>
      <c r="DD17" s="277"/>
      <c r="DE17" s="957">
        <v>20</v>
      </c>
      <c r="DF17" s="957">
        <v>37</v>
      </c>
      <c r="DG17" s="279"/>
      <c r="DH17" s="961">
        <v>6.5</v>
      </c>
      <c r="DI17" s="961">
        <v>16</v>
      </c>
      <c r="DJ17" s="279"/>
      <c r="DK17" s="961">
        <v>28</v>
      </c>
      <c r="DL17" s="965">
        <v>60</v>
      </c>
      <c r="DN17" s="61"/>
      <c r="DO17" s="51"/>
      <c r="DP17" s="130">
        <v>36</v>
      </c>
      <c r="DQ17" s="134">
        <v>5</v>
      </c>
      <c r="DR17" s="277"/>
      <c r="DS17" s="957">
        <v>28</v>
      </c>
      <c r="DT17" s="957">
        <v>50</v>
      </c>
      <c r="DU17" s="279"/>
      <c r="DV17" s="961">
        <v>9</v>
      </c>
      <c r="DW17" s="994">
        <v>23</v>
      </c>
      <c r="DX17" s="136"/>
      <c r="DY17" s="957">
        <v>41</v>
      </c>
      <c r="DZ17" s="1001">
        <v>70</v>
      </c>
      <c r="EB17" s="61"/>
      <c r="EC17" s="51"/>
      <c r="ED17" s="459">
        <v>33</v>
      </c>
      <c r="EE17" s="1083"/>
      <c r="EF17" s="132"/>
      <c r="EG17" s="971">
        <v>36</v>
      </c>
      <c r="EH17" s="971">
        <v>49</v>
      </c>
      <c r="EI17" s="279"/>
      <c r="EJ17" s="971">
        <v>11</v>
      </c>
      <c r="EK17" s="971">
        <v>15</v>
      </c>
      <c r="EL17" s="136"/>
      <c r="EM17" s="971">
        <v>35</v>
      </c>
      <c r="EN17" s="1067">
        <v>52</v>
      </c>
      <c r="FG17" s="1579" t="s">
        <v>1471</v>
      </c>
      <c r="FH17" s="1999">
        <f t="shared" si="3"/>
        <v>4.2000000000000003E-2</v>
      </c>
      <c r="FI17" s="2001">
        <v>42</v>
      </c>
      <c r="FJ17" s="69"/>
      <c r="FK17" s="1999">
        <f t="shared" si="1"/>
        <v>2.5999999999999999E-2</v>
      </c>
      <c r="FL17" s="2001">
        <v>26</v>
      </c>
      <c r="FM17" s="69"/>
      <c r="FN17" s="1999">
        <f t="shared" si="2"/>
        <v>4.1000000000000002E-2</v>
      </c>
      <c r="FO17" s="2001">
        <v>41</v>
      </c>
      <c r="FP17" s="69"/>
      <c r="GN17" s="1372"/>
      <c r="GO17" s="1372"/>
      <c r="GP17" s="1372"/>
    </row>
    <row r="18" spans="1:198" ht="12.75" customHeight="1" thickBot="1" x14ac:dyDescent="0.25">
      <c r="A18" s="1158" t="s">
        <v>647</v>
      </c>
      <c r="H18" s="819"/>
      <c r="I18" s="811"/>
      <c r="J18" s="613" t="s">
        <v>422</v>
      </c>
      <c r="K18" s="1417">
        <v>25</v>
      </c>
      <c r="L18"/>
      <c r="M18"/>
      <c r="N18"/>
      <c r="O18"/>
      <c r="P18"/>
      <c r="Q18"/>
      <c r="R18"/>
      <c r="S18"/>
      <c r="T18" s="818"/>
      <c r="AA18" t="s">
        <v>671</v>
      </c>
      <c r="AD18" t="s">
        <v>1729</v>
      </c>
      <c r="AE18" s="934">
        <v>1.5</v>
      </c>
      <c r="AF18" s="2107">
        <v>2.2200000000000002</v>
      </c>
      <c r="AH18" s="605"/>
      <c r="AI18" s="605" t="s">
        <v>135</v>
      </c>
      <c r="AJ18" s="613" t="s">
        <v>636</v>
      </c>
      <c r="AK18" s="613" t="s">
        <v>637</v>
      </c>
      <c r="AL18" s="825" t="s">
        <v>636</v>
      </c>
      <c r="AM18" s="826" t="s">
        <v>637</v>
      </c>
      <c r="AN18" s="613" t="s">
        <v>636</v>
      </c>
      <c r="AO18" s="823" t="s">
        <v>637</v>
      </c>
      <c r="AQ18" s="188" t="s">
        <v>852</v>
      </c>
      <c r="AR18" s="221" t="s">
        <v>703</v>
      </c>
      <c r="AS18" s="1941">
        <v>0</v>
      </c>
      <c r="AT18" s="934">
        <v>1.3</v>
      </c>
      <c r="AU18" s="936">
        <v>3.5</v>
      </c>
      <c r="AV18" s="1942">
        <v>4</v>
      </c>
      <c r="AW18" s="1942">
        <v>1.5</v>
      </c>
      <c r="AX18" s="1942">
        <v>3</v>
      </c>
      <c r="BC18" t="s">
        <v>2283</v>
      </c>
      <c r="BD18" s="1107">
        <v>750</v>
      </c>
      <c r="BE18" s="1107">
        <v>22</v>
      </c>
      <c r="BF18" s="1107">
        <v>5.5</v>
      </c>
      <c r="BG18" s="1107">
        <v>30</v>
      </c>
      <c r="BI18" s="1442" t="s">
        <v>1189</v>
      </c>
      <c r="BJ18" s="1527">
        <v>1000</v>
      </c>
      <c r="BK18" s="1527">
        <v>19.2</v>
      </c>
      <c r="BL18" s="1684">
        <v>9</v>
      </c>
      <c r="BM18" s="1684">
        <v>8</v>
      </c>
      <c r="BU18" s="630" t="s">
        <v>1285</v>
      </c>
      <c r="BV18" s="1961">
        <f>10*17.1/6.25</f>
        <v>27.36</v>
      </c>
      <c r="BW18" s="1961">
        <f>10*0.52*2.29</f>
        <v>11.908000000000001</v>
      </c>
      <c r="BX18" s="1961">
        <f>10*0.78*1.2</f>
        <v>9.3600000000000012</v>
      </c>
      <c r="BY18"/>
      <c r="CR18" s="257"/>
      <c r="CS18" s="127">
        <v>5</v>
      </c>
      <c r="CT18" s="68" t="s">
        <v>258</v>
      </c>
      <c r="CU18" s="261"/>
      <c r="CV18" s="953">
        <v>29</v>
      </c>
      <c r="CW18" s="953">
        <v>46</v>
      </c>
      <c r="CX18" s="204"/>
      <c r="CY18" s="946">
        <v>10</v>
      </c>
      <c r="CZ18" s="946">
        <v>19</v>
      </c>
      <c r="DA18" s="204"/>
      <c r="DB18" s="946">
        <v>34</v>
      </c>
      <c r="DC18" s="964">
        <v>64</v>
      </c>
      <c r="DD18" s="261"/>
      <c r="DE18" s="953">
        <v>25</v>
      </c>
      <c r="DF18" s="953">
        <v>40</v>
      </c>
      <c r="DG18" s="204"/>
      <c r="DH18" s="946">
        <v>7.5</v>
      </c>
      <c r="DI18" s="946">
        <v>17</v>
      </c>
      <c r="DJ18" s="204"/>
      <c r="DK18" s="946">
        <v>35</v>
      </c>
      <c r="DL18" s="964">
        <v>63</v>
      </c>
      <c r="DN18" s="61"/>
      <c r="DO18" s="51"/>
      <c r="DP18" s="51"/>
      <c r="DQ18" s="126">
        <v>6</v>
      </c>
      <c r="DR18" s="261"/>
      <c r="DS18" s="953">
        <v>34</v>
      </c>
      <c r="DT18" s="953">
        <v>53</v>
      </c>
      <c r="DU18" s="204"/>
      <c r="DV18" s="946">
        <v>11</v>
      </c>
      <c r="DW18" s="947">
        <v>23</v>
      </c>
      <c r="DX18" s="128"/>
      <c r="DY18" s="953">
        <v>48</v>
      </c>
      <c r="DZ18" s="997">
        <v>73</v>
      </c>
      <c r="EB18" s="61"/>
      <c r="EC18" s="51"/>
      <c r="ED18" s="459">
        <v>36</v>
      </c>
      <c r="EE18" s="1083"/>
      <c r="EF18" s="132"/>
      <c r="EG18" s="971">
        <v>36</v>
      </c>
      <c r="EH18" s="971">
        <v>62</v>
      </c>
      <c r="EI18" s="279"/>
      <c r="EJ18" s="971">
        <v>11</v>
      </c>
      <c r="EK18" s="971">
        <v>24</v>
      </c>
      <c r="EL18" s="136"/>
      <c r="EM18" s="971">
        <v>51</v>
      </c>
      <c r="EN18" s="1067">
        <v>75</v>
      </c>
      <c r="FA18" s="1364" t="s">
        <v>996</v>
      </c>
      <c r="FB18" s="1372"/>
      <c r="FC18" s="1372"/>
      <c r="FD18" s="1372"/>
      <c r="FE18" s="1372"/>
      <c r="FG18" s="676" t="s">
        <v>520</v>
      </c>
      <c r="FH18" s="1999">
        <f t="shared" si="3"/>
        <v>7.0000000000000007E-2</v>
      </c>
      <c r="FI18" s="2001">
        <v>70</v>
      </c>
      <c r="FJ18" s="69"/>
      <c r="FK18" s="1999">
        <f t="shared" si="1"/>
        <v>5.2999999999999999E-2</v>
      </c>
      <c r="FL18" s="2001">
        <v>53</v>
      </c>
      <c r="FM18" s="69"/>
      <c r="FN18" s="1999">
        <f t="shared" si="2"/>
        <v>6.2E-2</v>
      </c>
      <c r="FO18" s="2001">
        <v>62</v>
      </c>
      <c r="FP18" s="69"/>
      <c r="GN18" s="1372"/>
      <c r="GO18" s="1372"/>
      <c r="GP18" s="1372"/>
    </row>
    <row r="19" spans="1:198" ht="12.75" customHeight="1" thickTop="1" x14ac:dyDescent="0.2">
      <c r="A19" s="1157" t="s">
        <v>671</v>
      </c>
      <c r="H19" s="819"/>
      <c r="I19" s="811"/>
      <c r="J19" s="613" t="s">
        <v>423</v>
      </c>
      <c r="K19" s="1417">
        <v>42.5</v>
      </c>
      <c r="L19"/>
      <c r="M19"/>
      <c r="N19"/>
      <c r="O19"/>
      <c r="P19"/>
      <c r="Q19"/>
      <c r="R19"/>
      <c r="S19"/>
      <c r="T19" s="818"/>
      <c r="AA19" t="s">
        <v>671</v>
      </c>
      <c r="AD19" t="s">
        <v>1730</v>
      </c>
      <c r="AE19" s="934">
        <v>1.1499999999999999</v>
      </c>
      <c r="AF19" s="2107">
        <v>1.75</v>
      </c>
      <c r="AH19" s="2104" t="str">
        <f ca="1">CELL("adresse",Ferti_Prairies!AA18)</f>
        <v>'[Bilagreau7 exemple.xlsm]Ferti_Prairies'!$AA$18</v>
      </c>
      <c r="AI19" s="605" t="s">
        <v>14</v>
      </c>
      <c r="AJ19" s="605"/>
      <c r="AK19" s="605"/>
      <c r="AL19" s="769"/>
      <c r="AM19" s="770"/>
      <c r="AN19" s="605"/>
      <c r="AO19" s="606"/>
      <c r="AQ19" s="2007" t="s">
        <v>1069</v>
      </c>
      <c r="AR19" s="2008" t="s">
        <v>704</v>
      </c>
      <c r="AS19" s="1941">
        <v>0</v>
      </c>
      <c r="AT19" s="934">
        <v>7</v>
      </c>
      <c r="AU19" s="936">
        <v>32</v>
      </c>
      <c r="AV19" s="1942">
        <v>32</v>
      </c>
      <c r="AW19" s="1942">
        <v>7</v>
      </c>
      <c r="AX19" s="1942">
        <v>32</v>
      </c>
      <c r="BC19" t="s">
        <v>2284</v>
      </c>
      <c r="BD19" s="1107">
        <v>720</v>
      </c>
      <c r="BE19" s="1107">
        <v>17</v>
      </c>
      <c r="BF19" s="1107">
        <v>5</v>
      </c>
      <c r="BG19" s="1107">
        <v>25</v>
      </c>
      <c r="BI19" s="1442" t="s">
        <v>1188</v>
      </c>
      <c r="BJ19" s="1527">
        <v>1000</v>
      </c>
      <c r="BK19" s="1527">
        <v>25.6</v>
      </c>
      <c r="BL19" s="1684">
        <v>10</v>
      </c>
      <c r="BM19" s="1684">
        <v>8</v>
      </c>
      <c r="BU19" s="630" t="s">
        <v>1940</v>
      </c>
      <c r="BV19" s="1961">
        <f>10*16.2/6.25</f>
        <v>25.92</v>
      </c>
      <c r="BW19" s="1961">
        <f>10*0.54*2.29</f>
        <v>12.366000000000001</v>
      </c>
      <c r="BX19" s="1961">
        <f>10*0.7*1.2</f>
        <v>8.4</v>
      </c>
      <c r="BY19"/>
      <c r="CR19" s="120"/>
      <c r="CS19" s="127">
        <v>6</v>
      </c>
      <c r="CT19" s="68" t="s">
        <v>258</v>
      </c>
      <c r="CU19" s="261"/>
      <c r="CV19" s="953">
        <v>35</v>
      </c>
      <c r="CW19" s="953">
        <v>50</v>
      </c>
      <c r="CX19" s="204"/>
      <c r="CY19" s="946">
        <v>11</v>
      </c>
      <c r="CZ19" s="946">
        <v>20</v>
      </c>
      <c r="DA19" s="204"/>
      <c r="DB19" s="946">
        <v>40</v>
      </c>
      <c r="DC19" s="964">
        <v>66</v>
      </c>
      <c r="DD19" s="261"/>
      <c r="DE19" s="953">
        <v>30</v>
      </c>
      <c r="DF19" s="953">
        <v>43</v>
      </c>
      <c r="DG19" s="204"/>
      <c r="DH19" s="946">
        <v>10</v>
      </c>
      <c r="DI19" s="946">
        <v>16</v>
      </c>
      <c r="DJ19" s="204"/>
      <c r="DK19" s="946">
        <v>43</v>
      </c>
      <c r="DL19" s="964">
        <v>66</v>
      </c>
      <c r="DN19" s="61"/>
      <c r="DO19" s="51"/>
      <c r="DP19" s="51"/>
      <c r="DQ19" s="126">
        <v>7</v>
      </c>
      <c r="DR19" s="261"/>
      <c r="DS19" s="953">
        <v>39</v>
      </c>
      <c r="DT19" s="953">
        <v>55</v>
      </c>
      <c r="DU19" s="204"/>
      <c r="DV19" s="946">
        <v>13</v>
      </c>
      <c r="DW19" s="947">
        <v>23</v>
      </c>
      <c r="DX19" s="128"/>
      <c r="DY19" s="953">
        <v>56</v>
      </c>
      <c r="DZ19" s="997">
        <v>76</v>
      </c>
      <c r="EB19" s="80" t="s">
        <v>502</v>
      </c>
      <c r="EC19" s="440">
        <v>1</v>
      </c>
      <c r="ED19" s="517"/>
      <c r="EE19" s="1080"/>
      <c r="EF19" s="575"/>
      <c r="EG19" s="1059">
        <v>0</v>
      </c>
      <c r="EH19" s="1059">
        <v>22</v>
      </c>
      <c r="EI19" s="268"/>
      <c r="EJ19" s="1059">
        <v>0</v>
      </c>
      <c r="EK19" s="1059">
        <v>14</v>
      </c>
      <c r="EL19" s="269"/>
      <c r="EM19" s="1059">
        <v>0</v>
      </c>
      <c r="EN19" s="1061">
        <v>24.5</v>
      </c>
      <c r="FA19" s="1352" t="s">
        <v>1002</v>
      </c>
      <c r="FB19" s="1371">
        <v>14.4</v>
      </c>
      <c r="FC19" s="1371">
        <v>12.1</v>
      </c>
      <c r="FD19" s="1371">
        <v>14.9</v>
      </c>
      <c r="FE19" s="1371">
        <v>15</v>
      </c>
      <c r="FG19" s="676" t="s">
        <v>990</v>
      </c>
      <c r="FH19" s="1999">
        <f t="shared" si="3"/>
        <v>8.2000000000000003E-2</v>
      </c>
      <c r="FI19" s="2001">
        <v>82</v>
      </c>
      <c r="FJ19" s="69"/>
      <c r="FK19" s="1999">
        <f t="shared" si="1"/>
        <v>7.5999999999999998E-2</v>
      </c>
      <c r="FL19" s="2001">
        <v>76</v>
      </c>
      <c r="FM19" s="69"/>
      <c r="FN19" s="1999">
        <f t="shared" si="2"/>
        <v>7.2999999999999995E-2</v>
      </c>
      <c r="FO19" s="2001">
        <v>73</v>
      </c>
      <c r="FP19" s="69"/>
      <c r="GN19" s="1372"/>
      <c r="GO19" s="1372"/>
      <c r="GP19" s="1372"/>
    </row>
    <row r="20" spans="1:198" ht="12.75" customHeight="1" thickBot="1" x14ac:dyDescent="0.25">
      <c r="A20" s="1158" t="s">
        <v>23</v>
      </c>
      <c r="C20" s="1119" t="str">
        <f ca="1">CELL("adresse",Saisies_Exploitation!AL55)</f>
        <v>'[Bilagreau7 exemple.xlsm]Saisies_Exploitation'!$AL$55</v>
      </c>
      <c r="D20" s="820" t="s">
        <v>961</v>
      </c>
      <c r="E20" s="701" t="s">
        <v>564</v>
      </c>
      <c r="F20" s="701" t="s">
        <v>565</v>
      </c>
      <c r="G20" s="616" t="s">
        <v>566</v>
      </c>
      <c r="H20" s="819"/>
      <c r="I20" s="811"/>
      <c r="J20" s="613" t="s">
        <v>424</v>
      </c>
      <c r="K20" s="1417">
        <v>73</v>
      </c>
      <c r="L20"/>
      <c r="M20"/>
      <c r="N20"/>
      <c r="O20"/>
      <c r="P20"/>
      <c r="Q20"/>
      <c r="R20"/>
      <c r="S20"/>
      <c r="T20" s="818"/>
      <c r="AD20" t="s">
        <v>1731</v>
      </c>
      <c r="AE20" s="934">
        <v>0.62</v>
      </c>
      <c r="AF20" s="934">
        <v>0.68</v>
      </c>
      <c r="AH20" s="1237" t="s">
        <v>126</v>
      </c>
      <c r="AI20" s="834" t="s">
        <v>638</v>
      </c>
      <c r="AJ20" s="938">
        <v>40</v>
      </c>
      <c r="AK20" s="938">
        <v>60</v>
      </c>
      <c r="AL20" s="942">
        <v>60</v>
      </c>
      <c r="AM20" s="943">
        <v>80</v>
      </c>
      <c r="AN20" s="938">
        <v>80</v>
      </c>
      <c r="AO20" s="939">
        <v>110</v>
      </c>
      <c r="AQ20" s="2007" t="s">
        <v>1070</v>
      </c>
      <c r="AR20" s="2008" t="s">
        <v>704</v>
      </c>
      <c r="AS20" s="1941">
        <v>0</v>
      </c>
      <c r="AT20" s="934">
        <v>6.5</v>
      </c>
      <c r="AU20" s="936">
        <v>30</v>
      </c>
      <c r="AV20" s="1942">
        <v>28</v>
      </c>
      <c r="AW20" s="1942">
        <v>6.5</v>
      </c>
      <c r="AX20" s="1942">
        <v>30</v>
      </c>
      <c r="BC20" t="s">
        <v>2285</v>
      </c>
      <c r="BD20" s="1107">
        <v>800</v>
      </c>
      <c r="BE20" s="1107">
        <v>22</v>
      </c>
      <c r="BF20" s="1107">
        <v>5.5</v>
      </c>
      <c r="BG20" s="1107">
        <v>30</v>
      </c>
      <c r="BI20" s="1442" t="s">
        <v>1187</v>
      </c>
      <c r="BJ20" s="1527">
        <v>1000</v>
      </c>
      <c r="BK20" s="1527">
        <v>28.8</v>
      </c>
      <c r="BL20" s="1684">
        <v>11</v>
      </c>
      <c r="BM20" s="1684">
        <v>10</v>
      </c>
      <c r="BU20" s="630" t="s">
        <v>1288</v>
      </c>
      <c r="BV20" s="1961">
        <f>10*16.7/6.25</f>
        <v>26.72</v>
      </c>
      <c r="BW20" s="1961">
        <f>10*0.53*2.29</f>
        <v>12.137000000000002</v>
      </c>
      <c r="BX20" s="1961">
        <f>10*0.67*1.2</f>
        <v>8.0399999999999991</v>
      </c>
      <c r="BY20"/>
      <c r="CR20" s="120"/>
      <c r="CS20" s="127">
        <v>7</v>
      </c>
      <c r="CT20" s="68" t="s">
        <v>258</v>
      </c>
      <c r="CU20" s="261"/>
      <c r="CV20" s="953">
        <v>41</v>
      </c>
      <c r="CW20" s="953">
        <v>54</v>
      </c>
      <c r="CX20" s="204"/>
      <c r="CY20" s="946">
        <v>13</v>
      </c>
      <c r="CZ20" s="946">
        <v>20</v>
      </c>
      <c r="DA20" s="204"/>
      <c r="DB20" s="946">
        <v>47</v>
      </c>
      <c r="DC20" s="964">
        <v>69</v>
      </c>
      <c r="DD20" s="261"/>
      <c r="DE20" s="953">
        <v>35</v>
      </c>
      <c r="DF20" s="953">
        <v>47</v>
      </c>
      <c r="DG20" s="204"/>
      <c r="DH20" s="946">
        <v>11</v>
      </c>
      <c r="DI20" s="946">
        <v>17</v>
      </c>
      <c r="DJ20" s="204"/>
      <c r="DK20" s="946">
        <v>50</v>
      </c>
      <c r="DL20" s="964">
        <v>70</v>
      </c>
      <c r="DN20" s="72"/>
      <c r="DO20" s="76"/>
      <c r="DP20" s="76"/>
      <c r="DQ20" s="281">
        <v>8</v>
      </c>
      <c r="DR20" s="263"/>
      <c r="DS20" s="958">
        <v>45</v>
      </c>
      <c r="DT20" s="958">
        <v>58</v>
      </c>
      <c r="DU20" s="206"/>
      <c r="DV20" s="962">
        <v>15</v>
      </c>
      <c r="DW20" s="995">
        <v>23</v>
      </c>
      <c r="DX20" s="207"/>
      <c r="DY20" s="958">
        <v>64</v>
      </c>
      <c r="DZ20" s="1002">
        <v>80</v>
      </c>
      <c r="EB20" s="72"/>
      <c r="EC20" s="574">
        <v>2</v>
      </c>
      <c r="ED20" s="1081"/>
      <c r="EE20" s="1082"/>
      <c r="EF20" s="75"/>
      <c r="EG20" s="973">
        <v>0</v>
      </c>
      <c r="EH20" s="973">
        <v>20</v>
      </c>
      <c r="EI20" s="206"/>
      <c r="EJ20" s="973">
        <v>0</v>
      </c>
      <c r="EK20" s="973">
        <v>12.5</v>
      </c>
      <c r="EL20" s="207"/>
      <c r="EM20" s="973">
        <v>0</v>
      </c>
      <c r="EN20" s="1062">
        <v>22</v>
      </c>
      <c r="FA20" s="1352" t="s">
        <v>1003</v>
      </c>
      <c r="FB20" s="1371">
        <v>0.31</v>
      </c>
      <c r="FC20" s="1371">
        <v>0.22</v>
      </c>
      <c r="FD20" s="1371">
        <v>0.32</v>
      </c>
      <c r="FE20" s="1371">
        <v>0.46</v>
      </c>
      <c r="FG20" s="676" t="s">
        <v>521</v>
      </c>
      <c r="FH20" s="1999">
        <f t="shared" si="3"/>
        <v>1.2E-2</v>
      </c>
      <c r="FI20" s="2001">
        <v>12</v>
      </c>
      <c r="FJ20" s="69"/>
      <c r="FK20" s="1999">
        <f t="shared" si="1"/>
        <v>6.0000000000000001E-3</v>
      </c>
      <c r="FL20" s="2001">
        <v>6</v>
      </c>
      <c r="FM20" s="69"/>
      <c r="FN20" s="1999">
        <f t="shared" si="2"/>
        <v>1.2999999999999999E-2</v>
      </c>
      <c r="FO20" s="2001">
        <v>13</v>
      </c>
      <c r="FP20" s="69"/>
      <c r="GN20" s="1372"/>
      <c r="GO20" s="1372"/>
      <c r="GP20" s="1372"/>
    </row>
    <row r="21" spans="1:198" ht="12.75" customHeight="1" thickTop="1" thickBot="1" x14ac:dyDescent="0.25">
      <c r="A21" s="1157" t="s">
        <v>671</v>
      </c>
      <c r="C21" s="1127"/>
      <c r="D21" s="605"/>
      <c r="E21" s="621" t="s">
        <v>932</v>
      </c>
      <c r="F21" s="621" t="s">
        <v>933</v>
      </c>
      <c r="G21" s="760" t="s">
        <v>934</v>
      </c>
      <c r="H21" s="819"/>
      <c r="I21" s="811" t="s">
        <v>428</v>
      </c>
      <c r="J21" s="613"/>
      <c r="K21" s="1417">
        <v>20</v>
      </c>
      <c r="L21"/>
      <c r="M21"/>
      <c r="N21"/>
      <c r="O21"/>
      <c r="P21"/>
      <c r="Q21"/>
      <c r="R21"/>
      <c r="S21"/>
      <c r="T21" s="818"/>
      <c r="AD21" t="s">
        <v>1732</v>
      </c>
      <c r="AE21" s="934">
        <v>0.9</v>
      </c>
      <c r="AF21" s="934">
        <v>1.5</v>
      </c>
      <c r="AH21" s="1237"/>
      <c r="AI21" s="834" t="s">
        <v>639</v>
      </c>
      <c r="AJ21" s="938">
        <v>60</v>
      </c>
      <c r="AK21" s="938">
        <v>80</v>
      </c>
      <c r="AL21" s="942">
        <v>90</v>
      </c>
      <c r="AM21" s="943">
        <v>110</v>
      </c>
      <c r="AN21" s="938">
        <v>110</v>
      </c>
      <c r="AO21" s="939">
        <v>140</v>
      </c>
      <c r="AQ21" s="188" t="s">
        <v>699</v>
      </c>
      <c r="AR21" s="221" t="s">
        <v>766</v>
      </c>
      <c r="AS21" s="1941">
        <v>3.2</v>
      </c>
      <c r="AT21" s="934">
        <v>1</v>
      </c>
      <c r="AU21" s="936">
        <v>3.5</v>
      </c>
      <c r="AV21" s="1942">
        <v>1.5</v>
      </c>
      <c r="AW21" s="1942">
        <v>0.85</v>
      </c>
      <c r="AX21" s="1942">
        <v>2</v>
      </c>
      <c r="BB21" t="s">
        <v>2275</v>
      </c>
      <c r="BC21" t="s">
        <v>2282</v>
      </c>
      <c r="BD21" s="1107">
        <v>820</v>
      </c>
      <c r="BE21" s="1107">
        <v>24</v>
      </c>
      <c r="BF21" s="1107">
        <v>6</v>
      </c>
      <c r="BG21" s="1107">
        <v>35</v>
      </c>
      <c r="BI21" s="1442" t="s">
        <v>1178</v>
      </c>
      <c r="BJ21" s="1527">
        <v>1200</v>
      </c>
      <c r="BK21" s="1530">
        <v>74</v>
      </c>
      <c r="BL21" s="1684">
        <v>14</v>
      </c>
      <c r="BM21" s="1684">
        <v>25.3</v>
      </c>
      <c r="BU21" s="630" t="s">
        <v>518</v>
      </c>
      <c r="BV21" s="1961">
        <f>10*17.3/6.25</f>
        <v>27.68</v>
      </c>
      <c r="BW21" s="1961">
        <f>10*0.56*2.29</f>
        <v>12.824000000000002</v>
      </c>
      <c r="BX21" s="1961">
        <f>10*0.8*1.2</f>
        <v>9.6</v>
      </c>
      <c r="BY21"/>
      <c r="CR21" s="61"/>
      <c r="CS21" s="130">
        <v>4</v>
      </c>
      <c r="CT21" s="133" t="s">
        <v>276</v>
      </c>
      <c r="CU21" s="277"/>
      <c r="CV21" s="957">
        <v>23</v>
      </c>
      <c r="CW21" s="957">
        <v>50</v>
      </c>
      <c r="CX21" s="279"/>
      <c r="CY21" s="961">
        <v>7.5</v>
      </c>
      <c r="CZ21" s="961">
        <v>18.5</v>
      </c>
      <c r="DA21" s="279"/>
      <c r="DB21" s="961">
        <v>27</v>
      </c>
      <c r="DC21" s="965">
        <v>63</v>
      </c>
      <c r="DD21" s="277"/>
      <c r="DE21" s="957">
        <v>20</v>
      </c>
      <c r="DF21" s="957">
        <v>42</v>
      </c>
      <c r="DG21" s="279"/>
      <c r="DH21" s="961">
        <v>6.5</v>
      </c>
      <c r="DI21" s="961">
        <v>16</v>
      </c>
      <c r="DJ21" s="279"/>
      <c r="DK21" s="961">
        <v>28</v>
      </c>
      <c r="DL21" s="965">
        <v>61</v>
      </c>
      <c r="EB21" s="89" t="s">
        <v>501</v>
      </c>
      <c r="EC21" s="90" t="s">
        <v>383</v>
      </c>
      <c r="ED21" s="90"/>
      <c r="EE21" s="155" t="s">
        <v>183</v>
      </c>
      <c r="EF21" s="156"/>
      <c r="EG21" s="1060">
        <v>0</v>
      </c>
      <c r="EH21" s="1060">
        <v>30</v>
      </c>
      <c r="EI21" s="219"/>
      <c r="EJ21" s="1060">
        <v>0</v>
      </c>
      <c r="EK21" s="1060">
        <v>16</v>
      </c>
      <c r="EL21" s="157"/>
      <c r="EM21" s="1060">
        <v>0</v>
      </c>
      <c r="EN21" s="1063">
        <v>34</v>
      </c>
      <c r="FA21" s="1352" t="s">
        <v>1004</v>
      </c>
      <c r="FB21" s="1371">
        <v>2.23</v>
      </c>
      <c r="FC21" s="1371">
        <v>1.62</v>
      </c>
      <c r="FD21" s="1371">
        <v>2.23</v>
      </c>
      <c r="FE21" s="1371">
        <v>2.58</v>
      </c>
      <c r="FG21" s="676" t="s">
        <v>1759</v>
      </c>
      <c r="FH21" s="1999">
        <f t="shared" si="3"/>
        <v>0.20300000000000001</v>
      </c>
      <c r="FI21" s="2001">
        <v>203</v>
      </c>
      <c r="FJ21" s="69"/>
      <c r="FK21" s="1999">
        <f t="shared" si="1"/>
        <v>0.155</v>
      </c>
      <c r="FL21" s="2001">
        <v>155</v>
      </c>
      <c r="FM21" s="69"/>
      <c r="FN21" s="1999">
        <f t="shared" si="2"/>
        <v>0.16600000000000001</v>
      </c>
      <c r="FO21" s="2001">
        <v>166</v>
      </c>
      <c r="FP21" s="69"/>
      <c r="GN21" s="1372"/>
      <c r="GO21" s="1372"/>
      <c r="GP21" s="1372"/>
    </row>
    <row r="22" spans="1:198" ht="12.75" customHeight="1" thickTop="1" thickBot="1" x14ac:dyDescent="0.25">
      <c r="A22" s="1158" t="s">
        <v>806</v>
      </c>
      <c r="C22" s="758"/>
      <c r="D22" s="607"/>
      <c r="E22" s="935">
        <v>0.8</v>
      </c>
      <c r="F22" s="935">
        <v>0.85</v>
      </c>
      <c r="G22" s="937">
        <v>0.9</v>
      </c>
      <c r="H22" s="819"/>
      <c r="I22" s="811" t="s">
        <v>425</v>
      </c>
      <c r="J22" s="613"/>
      <c r="K22" s="1418"/>
      <c r="L22"/>
      <c r="M22"/>
      <c r="N22"/>
      <c r="O22"/>
      <c r="P22"/>
      <c r="Q22"/>
      <c r="R22"/>
      <c r="S22"/>
      <c r="T22" s="818"/>
      <c r="AD22" t="s">
        <v>1733</v>
      </c>
      <c r="AE22" s="934">
        <v>1.2</v>
      </c>
      <c r="AF22" s="934">
        <v>1.6</v>
      </c>
      <c r="AH22" s="607"/>
      <c r="AI22" s="835" t="s">
        <v>640</v>
      </c>
      <c r="AJ22" s="940">
        <v>80</v>
      </c>
      <c r="AK22" s="940">
        <v>100</v>
      </c>
      <c r="AL22" s="944">
        <v>120</v>
      </c>
      <c r="AM22" s="945">
        <v>150</v>
      </c>
      <c r="AN22" s="940">
        <v>150</v>
      </c>
      <c r="AO22" s="941">
        <v>190</v>
      </c>
      <c r="AQ22" s="188" t="s">
        <v>700</v>
      </c>
      <c r="AR22" s="221" t="s">
        <v>766</v>
      </c>
      <c r="AS22" s="1941">
        <v>3</v>
      </c>
      <c r="AT22" s="934">
        <v>0.9</v>
      </c>
      <c r="AU22" s="936">
        <v>1.9</v>
      </c>
      <c r="AV22" s="1942">
        <v>2</v>
      </c>
      <c r="AW22" s="1942">
        <v>0.8</v>
      </c>
      <c r="AX22" s="1942">
        <v>3</v>
      </c>
      <c r="BC22" t="s">
        <v>2287</v>
      </c>
      <c r="BD22" s="1107">
        <v>750</v>
      </c>
      <c r="BE22" s="1107">
        <v>21</v>
      </c>
      <c r="BF22" s="1107">
        <v>5.5</v>
      </c>
      <c r="BG22" s="1107">
        <v>30</v>
      </c>
      <c r="BI22" s="1442" t="s">
        <v>1179</v>
      </c>
      <c r="BJ22" s="1527">
        <v>1200</v>
      </c>
      <c r="BK22" s="1530">
        <v>75.5</v>
      </c>
      <c r="BL22" s="1684">
        <v>14</v>
      </c>
      <c r="BM22" s="1684">
        <v>25.3</v>
      </c>
      <c r="BU22" s="630" t="s">
        <v>989</v>
      </c>
      <c r="BV22" s="1961">
        <f>10*17.3/6.25</f>
        <v>27.68</v>
      </c>
      <c r="BW22" s="1961">
        <f>10*0.56*2.29</f>
        <v>12.824000000000002</v>
      </c>
      <c r="BX22" s="1961">
        <f>10*0.8*1.2</f>
        <v>9.6</v>
      </c>
      <c r="BY22"/>
      <c r="CM22" s="606"/>
      <c r="CR22" s="61"/>
      <c r="CS22" s="51">
        <v>5</v>
      </c>
      <c r="CT22" s="68" t="s">
        <v>276</v>
      </c>
      <c r="CU22" s="261"/>
      <c r="CV22" s="953">
        <v>29</v>
      </c>
      <c r="CW22" s="953">
        <v>51</v>
      </c>
      <c r="CX22" s="204"/>
      <c r="CY22" s="946">
        <v>10</v>
      </c>
      <c r="CZ22" s="946">
        <v>19</v>
      </c>
      <c r="DA22" s="204"/>
      <c r="DB22" s="946">
        <v>34</v>
      </c>
      <c r="DC22" s="964">
        <v>66</v>
      </c>
      <c r="DD22" s="261"/>
      <c r="DE22" s="953">
        <v>25</v>
      </c>
      <c r="DF22" s="953">
        <v>44</v>
      </c>
      <c r="DG22" s="204"/>
      <c r="DH22" s="946">
        <v>7.5</v>
      </c>
      <c r="DI22" s="946">
        <v>17</v>
      </c>
      <c r="DJ22" s="204"/>
      <c r="DK22" s="946">
        <v>35</v>
      </c>
      <c r="DL22" s="964">
        <v>64</v>
      </c>
      <c r="DN22" s="3487" t="str">
        <f ca="1">CELL("adresse",Allaitant!N25)</f>
        <v>'[Bilagreau7 exemple.xlsm]Allaitant'!$N$25</v>
      </c>
      <c r="DO22" s="3487"/>
      <c r="DP22" s="3487"/>
      <c r="DQ22" s="3487"/>
      <c r="DR22" s="3487"/>
      <c r="DS22" s="3487"/>
      <c r="DT22" s="3487"/>
      <c r="DU22" s="3487"/>
      <c r="DV22" s="3487"/>
      <c r="DW22" s="3487"/>
      <c r="DX22" s="3487"/>
      <c r="DY22" s="3487"/>
      <c r="DZ22" s="3487"/>
      <c r="FA22" s="1352" t="s">
        <v>1005</v>
      </c>
      <c r="FB22" s="1371">
        <v>2.94</v>
      </c>
      <c r="FC22" s="1371">
        <v>2.06</v>
      </c>
      <c r="FD22" s="1371">
        <v>2.99</v>
      </c>
      <c r="FE22" s="1371">
        <v>4.04</v>
      </c>
      <c r="FG22" s="676" t="s">
        <v>1991</v>
      </c>
      <c r="FH22" s="1999">
        <f>FI22/1000</f>
        <v>0.14799999999999999</v>
      </c>
      <c r="FI22" s="2001">
        <v>148</v>
      </c>
      <c r="FJ22" s="69"/>
      <c r="FK22" s="1999">
        <f t="shared" si="1"/>
        <v>0.1</v>
      </c>
      <c r="FL22" s="2001">
        <v>100</v>
      </c>
      <c r="FM22" s="69"/>
      <c r="FN22" s="1999">
        <f t="shared" si="2"/>
        <v>0.1</v>
      </c>
      <c r="FO22" s="2001">
        <v>100</v>
      </c>
      <c r="FP22" s="235"/>
      <c r="GN22" s="1372"/>
      <c r="GO22" s="1372"/>
      <c r="GP22" s="1372"/>
    </row>
    <row r="23" spans="1:198" ht="12.75" customHeight="1" thickTop="1" thickBot="1" x14ac:dyDescent="0.25">
      <c r="A23" s="827" t="s">
        <v>671</v>
      </c>
      <c r="C23" s="1039"/>
      <c r="D23" s="605"/>
      <c r="E23" s="605"/>
      <c r="F23" s="605"/>
      <c r="G23" s="605"/>
      <c r="H23" s="819"/>
      <c r="I23" s="811"/>
      <c r="J23" s="613" t="s">
        <v>426</v>
      </c>
      <c r="K23" s="1417">
        <v>42.5</v>
      </c>
      <c r="L23"/>
      <c r="M23"/>
      <c r="N23"/>
      <c r="O23"/>
      <c r="P23"/>
      <c r="Q23"/>
      <c r="R23"/>
      <c r="S23"/>
      <c r="T23" s="818"/>
      <c r="AD23" t="s">
        <v>1734</v>
      </c>
      <c r="AE23" s="934">
        <v>1.33</v>
      </c>
      <c r="AF23" s="934">
        <v>1.8</v>
      </c>
      <c r="AQ23" s="188" t="s">
        <v>702</v>
      </c>
      <c r="AR23" s="221" t="s">
        <v>704</v>
      </c>
      <c r="AS23" s="1941">
        <v>28</v>
      </c>
      <c r="AT23" s="934">
        <v>9</v>
      </c>
      <c r="AU23" s="936">
        <v>40</v>
      </c>
      <c r="AV23" s="1942">
        <v>26</v>
      </c>
      <c r="AW23" s="1942">
        <v>7</v>
      </c>
      <c r="AX23" s="1942">
        <v>35</v>
      </c>
      <c r="BC23" t="s">
        <v>2288</v>
      </c>
      <c r="BD23" s="1107">
        <v>710</v>
      </c>
      <c r="BE23" s="1107">
        <v>18</v>
      </c>
      <c r="BF23" s="1107">
        <v>5</v>
      </c>
      <c r="BG23" s="1107">
        <v>20</v>
      </c>
      <c r="BI23" s="1442" t="s">
        <v>1180</v>
      </c>
      <c r="BJ23" s="1527">
        <v>1200</v>
      </c>
      <c r="BK23" s="1530">
        <v>76</v>
      </c>
      <c r="BL23" s="1684">
        <v>16</v>
      </c>
      <c r="BM23" s="1684">
        <v>25.3</v>
      </c>
      <c r="BU23" s="630" t="s">
        <v>1755</v>
      </c>
      <c r="BV23" s="1961">
        <f>10*18.7/6.25</f>
        <v>29.92</v>
      </c>
      <c r="BW23" s="1961">
        <f>10*0.48*2.29</f>
        <v>10.991999999999999</v>
      </c>
      <c r="BX23" s="1961">
        <f>10*0.81*1.2</f>
        <v>9.7200000000000006</v>
      </c>
      <c r="BY23"/>
      <c r="CM23" s="606"/>
      <c r="CR23" s="61"/>
      <c r="CS23" s="51">
        <v>6</v>
      </c>
      <c r="CT23" s="68" t="s">
        <v>276</v>
      </c>
      <c r="CU23" s="261"/>
      <c r="CV23" s="953">
        <v>35</v>
      </c>
      <c r="CW23" s="953">
        <v>55</v>
      </c>
      <c r="CX23" s="204"/>
      <c r="CY23" s="946">
        <v>11</v>
      </c>
      <c r="CZ23" s="946">
        <v>20</v>
      </c>
      <c r="DA23" s="204"/>
      <c r="DB23" s="946">
        <v>40</v>
      </c>
      <c r="DC23" s="964">
        <v>68</v>
      </c>
      <c r="DD23" s="261"/>
      <c r="DE23" s="953">
        <v>30</v>
      </c>
      <c r="DF23" s="953">
        <v>49</v>
      </c>
      <c r="DG23" s="204"/>
      <c r="DH23" s="946">
        <v>10</v>
      </c>
      <c r="DI23" s="946">
        <v>16</v>
      </c>
      <c r="DJ23" s="204"/>
      <c r="DK23" s="946">
        <v>43</v>
      </c>
      <c r="DL23" s="964">
        <v>72</v>
      </c>
      <c r="DP23" s="32"/>
      <c r="DQ23" s="32"/>
      <c r="DR23" s="3435" t="s">
        <v>347</v>
      </c>
      <c r="DS23" s="3436"/>
      <c r="DT23" s="3436"/>
      <c r="DU23" s="3436"/>
      <c r="DV23" s="3436"/>
      <c r="DW23" s="3436"/>
      <c r="DX23" s="3436"/>
      <c r="DY23" s="3436"/>
      <c r="DZ23" s="3437"/>
      <c r="EB23" s="3487" t="str">
        <f ca="1">CELL("adresse",Engraissement!N31)</f>
        <v>'[Bilagreau7 exemple.xlsm]Engraissement'!$N$31</v>
      </c>
      <c r="EC23" s="3487"/>
      <c r="ED23" s="3487"/>
      <c r="EE23" s="3487"/>
      <c r="EF23" s="3487"/>
      <c r="EG23" s="3487"/>
      <c r="EH23" s="3487"/>
      <c r="EI23" s="3487"/>
      <c r="EJ23" s="3487"/>
      <c r="EK23" s="3487"/>
      <c r="EL23" s="3487"/>
      <c r="EM23" s="3487"/>
      <c r="EN23" s="3487"/>
      <c r="FA23" s="1365" t="s">
        <v>2002</v>
      </c>
      <c r="FB23" s="1379">
        <v>2.5999999999999999E-2</v>
      </c>
      <c r="FC23" s="1379">
        <v>1.9E-2</v>
      </c>
      <c r="FD23" s="1380">
        <v>2.5999999999999999E-2</v>
      </c>
      <c r="FE23" s="1380">
        <v>3.1E-2</v>
      </c>
      <c r="FP23" s="69"/>
      <c r="GN23" s="1372"/>
      <c r="GO23" s="1372"/>
      <c r="GP23" s="1372"/>
    </row>
    <row r="24" spans="1:198" ht="12.75" customHeight="1" thickTop="1" x14ac:dyDescent="0.2">
      <c r="A24" s="1158" t="s">
        <v>1370</v>
      </c>
      <c r="C24" s="1126"/>
      <c r="D24" s="603"/>
      <c r="E24" s="603" t="s">
        <v>567</v>
      </c>
      <c r="F24" s="603" t="s">
        <v>568</v>
      </c>
      <c r="G24" s="757" t="s">
        <v>569</v>
      </c>
      <c r="H24" s="819"/>
      <c r="I24" s="811"/>
      <c r="J24" s="613" t="s">
        <v>427</v>
      </c>
      <c r="K24" s="1417">
        <v>54</v>
      </c>
      <c r="L24"/>
      <c r="M24"/>
      <c r="N24"/>
      <c r="O24"/>
      <c r="P24"/>
      <c r="Q24"/>
      <c r="R24"/>
      <c r="S24"/>
      <c r="T24" s="818"/>
      <c r="AD24" t="s">
        <v>1735</v>
      </c>
      <c r="AE24" s="934">
        <v>1.76</v>
      </c>
      <c r="AF24" s="934">
        <v>2.2230000000000003</v>
      </c>
      <c r="AH24" s="607"/>
      <c r="AI24" s="607"/>
      <c r="AJ24" s="607"/>
      <c r="AK24" s="607"/>
      <c r="AL24" s="607"/>
      <c r="AQ24" s="188" t="s">
        <v>698</v>
      </c>
      <c r="AR24" s="221" t="s">
        <v>703</v>
      </c>
      <c r="AS24" s="1941">
        <v>4.5</v>
      </c>
      <c r="AT24" s="934">
        <v>1.8</v>
      </c>
      <c r="AU24" s="936">
        <v>1</v>
      </c>
      <c r="AV24" s="1942">
        <v>4</v>
      </c>
      <c r="AW24" s="1942">
        <v>1.7</v>
      </c>
      <c r="AX24" s="1942">
        <v>1.5</v>
      </c>
      <c r="BB24" t="s">
        <v>512</v>
      </c>
      <c r="BD24" s="1107">
        <v>830</v>
      </c>
      <c r="BE24" s="1107">
        <v>25</v>
      </c>
      <c r="BF24" s="1107">
        <v>8</v>
      </c>
      <c r="BG24" s="1107">
        <v>42</v>
      </c>
      <c r="BI24" s="1442" t="s">
        <v>1183</v>
      </c>
      <c r="BJ24" s="1527">
        <v>1000</v>
      </c>
      <c r="BK24" s="1530">
        <v>78.400000000000006</v>
      </c>
      <c r="BL24" s="1684">
        <v>13</v>
      </c>
      <c r="BM24" s="1684">
        <v>17</v>
      </c>
      <c r="BU24" s="630" t="s">
        <v>1753</v>
      </c>
      <c r="BV24" s="1961">
        <f>10*18.6/6.25</f>
        <v>29.76</v>
      </c>
      <c r="BW24" s="1961">
        <f>10*0.51*2.29</f>
        <v>11.678999999999998</v>
      </c>
      <c r="BX24" s="1961">
        <f>10*0.78*1.2</f>
        <v>9.3600000000000012</v>
      </c>
      <c r="BY24"/>
      <c r="CM24" s="606"/>
      <c r="CR24" s="61"/>
      <c r="CS24" s="51">
        <v>7</v>
      </c>
      <c r="CT24" s="68" t="s">
        <v>276</v>
      </c>
      <c r="CU24" s="261"/>
      <c r="CV24" s="953">
        <v>41</v>
      </c>
      <c r="CW24" s="953">
        <v>58</v>
      </c>
      <c r="CX24" s="204"/>
      <c r="CY24" s="946">
        <v>13</v>
      </c>
      <c r="CZ24" s="946">
        <v>20</v>
      </c>
      <c r="DA24" s="204"/>
      <c r="DB24" s="946">
        <v>47</v>
      </c>
      <c r="DC24" s="964">
        <v>70</v>
      </c>
      <c r="DD24" s="261"/>
      <c r="DE24" s="953">
        <v>35</v>
      </c>
      <c r="DF24" s="953">
        <v>52</v>
      </c>
      <c r="DG24" s="204"/>
      <c r="DH24" s="946">
        <v>11</v>
      </c>
      <c r="DI24" s="946">
        <v>17</v>
      </c>
      <c r="DJ24" s="204"/>
      <c r="DK24" s="946">
        <v>50</v>
      </c>
      <c r="DL24" s="964">
        <v>76</v>
      </c>
      <c r="DN24" s="841" t="s">
        <v>39</v>
      </c>
      <c r="DO24" s="1135"/>
      <c r="DP24" s="1135"/>
      <c r="DQ24" s="1135"/>
      <c r="DR24" s="3441" t="s">
        <v>256</v>
      </c>
      <c r="DS24" s="3430"/>
      <c r="DT24" s="3430"/>
      <c r="DU24" s="3429" t="s">
        <v>257</v>
      </c>
      <c r="DV24" s="3430"/>
      <c r="DW24" s="3431"/>
      <c r="DX24" s="3430" t="s">
        <v>756</v>
      </c>
      <c r="DY24" s="3430"/>
      <c r="DZ24" s="3434"/>
      <c r="EC24" s="32"/>
      <c r="ED24" s="32"/>
      <c r="EE24" s="32"/>
      <c r="EF24" s="3435" t="s">
        <v>347</v>
      </c>
      <c r="EG24" s="3436"/>
      <c r="EH24" s="3436"/>
      <c r="EI24" s="3436"/>
      <c r="EJ24" s="3436"/>
      <c r="EK24" s="3436"/>
      <c r="EL24" s="3436"/>
      <c r="EM24" s="3436"/>
      <c r="EN24" s="3437"/>
      <c r="FA24" s="32"/>
      <c r="FB24" s="1373"/>
      <c r="FC24" s="1373"/>
      <c r="FD24" s="1373"/>
      <c r="FE24" s="1373"/>
      <c r="FG24" s="676" t="s">
        <v>1291</v>
      </c>
      <c r="FH24" s="1999">
        <f>FI24/1000</f>
        <v>0.77700000000000002</v>
      </c>
      <c r="FI24" s="2001">
        <v>777</v>
      </c>
      <c r="FJ24" s="69"/>
      <c r="FK24" s="1999">
        <f t="shared" ref="FK24:FK29" si="4">FL24/1000</f>
        <v>1.163</v>
      </c>
      <c r="FL24" s="2001">
        <v>1163</v>
      </c>
      <c r="FM24" s="69"/>
      <c r="FN24" s="1999">
        <f t="shared" ref="FN24:FN29" si="5">FO24/1000</f>
        <v>0.81</v>
      </c>
      <c r="FO24" s="2001">
        <v>810</v>
      </c>
      <c r="FP24" s="69"/>
      <c r="GN24" s="1372"/>
      <c r="GO24" s="1372"/>
      <c r="GP24" s="1372"/>
    </row>
    <row r="25" spans="1:198" ht="12.75" customHeight="1" x14ac:dyDescent="0.2">
      <c r="A25" s="827" t="s">
        <v>671</v>
      </c>
      <c r="C25" s="1127"/>
      <c r="D25" s="605"/>
      <c r="E25" s="621" t="s">
        <v>935</v>
      </c>
      <c r="F25" s="621" t="s">
        <v>936</v>
      </c>
      <c r="G25" s="760" t="s">
        <v>937</v>
      </c>
      <c r="I25" s="811" t="s">
        <v>429</v>
      </c>
      <c r="J25" s="613"/>
      <c r="K25" s="1417">
        <v>40</v>
      </c>
      <c r="L25"/>
      <c r="M25"/>
      <c r="N25"/>
      <c r="O25"/>
      <c r="P25"/>
      <c r="Q25"/>
      <c r="R25"/>
      <c r="S25"/>
      <c r="AA25" t="s">
        <v>671</v>
      </c>
      <c r="AD25" t="s">
        <v>1736</v>
      </c>
      <c r="AE25" s="934">
        <v>1.42</v>
      </c>
      <c r="AF25" s="934">
        <v>1.665</v>
      </c>
      <c r="AH25" s="605"/>
      <c r="AI25" s="605" t="s">
        <v>140</v>
      </c>
      <c r="AJ25" s="808">
        <v>5</v>
      </c>
      <c r="AK25" s="808">
        <v>6</v>
      </c>
      <c r="AL25" s="808">
        <v>7</v>
      </c>
      <c r="AM25" s="824">
        <v>8</v>
      </c>
      <c r="AN25" s="824">
        <v>9</v>
      </c>
      <c r="AO25" s="842">
        <v>10</v>
      </c>
      <c r="AQ25" s="188" t="s">
        <v>912</v>
      </c>
      <c r="AR25" s="221" t="s">
        <v>704</v>
      </c>
      <c r="AS25" s="1941">
        <v>10</v>
      </c>
      <c r="AT25" s="934">
        <v>2</v>
      </c>
      <c r="AU25" s="936">
        <v>7</v>
      </c>
      <c r="AV25" s="1942">
        <v>5.6</v>
      </c>
      <c r="AW25" s="1942">
        <v>2</v>
      </c>
      <c r="AX25" s="1942">
        <v>7</v>
      </c>
      <c r="BB25" t="s">
        <v>52</v>
      </c>
      <c r="BI25" s="1442" t="s">
        <v>1181</v>
      </c>
      <c r="BJ25" s="1527">
        <v>950</v>
      </c>
      <c r="BK25" s="1530">
        <v>54</v>
      </c>
      <c r="BL25" s="1684">
        <v>26</v>
      </c>
      <c r="BM25" s="1684">
        <v>15</v>
      </c>
      <c r="BU25" s="630" t="s">
        <v>1754</v>
      </c>
      <c r="BV25" s="1961">
        <f>10*18.3/6.25</f>
        <v>29.28</v>
      </c>
      <c r="BW25" s="1961">
        <f>10*0.54*2.29</f>
        <v>12.366000000000001</v>
      </c>
      <c r="BX25" s="1961">
        <f>10*0.78*1.2</f>
        <v>9.3600000000000012</v>
      </c>
      <c r="BY25"/>
      <c r="CM25" s="605"/>
      <c r="CR25" s="61"/>
      <c r="CS25" s="130">
        <v>4</v>
      </c>
      <c r="CT25" s="133" t="s">
        <v>277</v>
      </c>
      <c r="CU25" s="277"/>
      <c r="CV25" s="957">
        <v>23</v>
      </c>
      <c r="CW25" s="957">
        <v>46</v>
      </c>
      <c r="CX25" s="279"/>
      <c r="CY25" s="961">
        <v>7.5</v>
      </c>
      <c r="CZ25" s="961">
        <v>18.5</v>
      </c>
      <c r="DA25" s="279"/>
      <c r="DB25" s="961">
        <v>27</v>
      </c>
      <c r="DC25" s="965">
        <v>56</v>
      </c>
      <c r="DD25" s="277"/>
      <c r="DE25" s="957">
        <v>20</v>
      </c>
      <c r="DF25" s="957">
        <v>39</v>
      </c>
      <c r="DG25" s="279"/>
      <c r="DH25" s="961">
        <v>6.5</v>
      </c>
      <c r="DI25" s="961">
        <v>16</v>
      </c>
      <c r="DJ25" s="279"/>
      <c r="DK25" s="961">
        <v>28</v>
      </c>
      <c r="DL25" s="965">
        <v>54</v>
      </c>
      <c r="DN25" s="3491" t="s">
        <v>347</v>
      </c>
      <c r="DO25" s="50" t="s">
        <v>353</v>
      </c>
      <c r="DP25" s="50" t="s">
        <v>355</v>
      </c>
      <c r="DQ25" s="50" t="s">
        <v>344</v>
      </c>
      <c r="DR25" s="110" t="s">
        <v>249</v>
      </c>
      <c r="DS25" s="36" t="s">
        <v>247</v>
      </c>
      <c r="DT25" s="36"/>
      <c r="DU25" s="35" t="s">
        <v>249</v>
      </c>
      <c r="DV25" s="36" t="s">
        <v>247</v>
      </c>
      <c r="DW25" s="37"/>
      <c r="DX25" s="36" t="s">
        <v>249</v>
      </c>
      <c r="DY25" s="36" t="s">
        <v>247</v>
      </c>
      <c r="DZ25" s="109"/>
      <c r="EB25" s="841" t="s">
        <v>21</v>
      </c>
      <c r="EC25" s="1135"/>
      <c r="ED25" s="32"/>
      <c r="EE25" s="32"/>
      <c r="EF25" s="3441" t="s">
        <v>256</v>
      </c>
      <c r="EG25" s="3430"/>
      <c r="EH25" s="3430"/>
      <c r="EI25" s="3429" t="s">
        <v>257</v>
      </c>
      <c r="EJ25" s="3430"/>
      <c r="EK25" s="3431"/>
      <c r="EL25" s="3430" t="s">
        <v>756</v>
      </c>
      <c r="EM25" s="3430"/>
      <c r="EN25" s="3434"/>
      <c r="FA25" s="1364" t="s">
        <v>997</v>
      </c>
      <c r="FB25" s="1373"/>
      <c r="FC25" s="1373"/>
      <c r="FD25" s="1373"/>
      <c r="FE25" s="1373"/>
      <c r="FG25" s="676" t="s">
        <v>1496</v>
      </c>
      <c r="FH25" s="1999">
        <f>FI25/1000</f>
        <v>0.56699999999999995</v>
      </c>
      <c r="FI25" s="2001">
        <v>567</v>
      </c>
      <c r="FJ25" s="69"/>
      <c r="FK25" s="1999">
        <f t="shared" si="4"/>
        <v>0.435</v>
      </c>
      <c r="FL25" s="2001">
        <v>435</v>
      </c>
      <c r="FM25" s="69"/>
      <c r="FN25" s="1999">
        <f t="shared" si="5"/>
        <v>0.39500000000000002</v>
      </c>
      <c r="FO25" s="2001">
        <v>395</v>
      </c>
      <c r="FP25" s="69"/>
      <c r="GN25" s="1372"/>
      <c r="GO25" s="1372"/>
      <c r="GP25" s="1372"/>
    </row>
    <row r="26" spans="1:198" ht="12.75" customHeight="1" thickBot="1" x14ac:dyDescent="0.25">
      <c r="A26" s="1783" t="s">
        <v>1647</v>
      </c>
      <c r="C26" s="1042" t="str">
        <f ca="1">CELL("adresse",Saisies_Exploitation!AL59)</f>
        <v>'[Bilagreau7 exemple.xlsm]Saisies_Exploitation'!$AL$59</v>
      </c>
      <c r="D26" s="821" t="s">
        <v>962</v>
      </c>
      <c r="E26" s="934">
        <v>0.35</v>
      </c>
      <c r="F26" s="934">
        <v>0.4</v>
      </c>
      <c r="G26" s="936">
        <v>0.4</v>
      </c>
      <c r="I26" s="1573" t="s">
        <v>1277</v>
      </c>
      <c r="J26" s="613"/>
      <c r="K26" s="1418"/>
      <c r="L26"/>
      <c r="M26"/>
      <c r="N26"/>
      <c r="O26"/>
      <c r="P26"/>
      <c r="Q26"/>
      <c r="R26"/>
      <c r="S26"/>
      <c r="AA26" t="s">
        <v>671</v>
      </c>
      <c r="AD26" t="s">
        <v>1737</v>
      </c>
      <c r="AE26" s="934">
        <v>0.95</v>
      </c>
      <c r="AF26" s="934">
        <v>0.7</v>
      </c>
      <c r="AH26" s="2104" t="str">
        <f ca="1">CELL("adresse",Ferti_Prairies!AA25)</f>
        <v>'[Bilagreau7 exemple.xlsm]Ferti_Prairies'!$AA$25</v>
      </c>
      <c r="AI26" s="605" t="s">
        <v>139</v>
      </c>
      <c r="AJ26" s="605"/>
      <c r="AK26" s="605"/>
      <c r="AL26" s="605"/>
      <c r="AM26" s="605"/>
      <c r="AN26" s="605"/>
      <c r="AO26" s="606"/>
      <c r="AQ26" s="188" t="s">
        <v>913</v>
      </c>
      <c r="AR26" s="221" t="s">
        <v>704</v>
      </c>
      <c r="AS26" s="1941">
        <v>15</v>
      </c>
      <c r="AT26" s="934">
        <v>7</v>
      </c>
      <c r="AU26" s="936">
        <v>15</v>
      </c>
      <c r="AV26" s="1942">
        <v>15</v>
      </c>
      <c r="AW26" s="1942">
        <v>7</v>
      </c>
      <c r="AX26" s="1942">
        <v>15</v>
      </c>
      <c r="BB26" t="s">
        <v>511</v>
      </c>
      <c r="BD26" s="1107">
        <v>800</v>
      </c>
      <c r="BE26" s="1107">
        <v>27</v>
      </c>
      <c r="BF26" s="1107">
        <v>6.5</v>
      </c>
      <c r="BG26" s="1107">
        <v>40</v>
      </c>
      <c r="BI26" s="1442" t="s">
        <v>1182</v>
      </c>
      <c r="BJ26" s="1527">
        <v>1000</v>
      </c>
      <c r="BK26" s="1530">
        <v>49</v>
      </c>
      <c r="BL26" s="1684">
        <v>22</v>
      </c>
      <c r="BM26" s="1684">
        <v>13</v>
      </c>
      <c r="BU26" s="630" t="s">
        <v>1756</v>
      </c>
      <c r="BV26" s="1961">
        <f>10*17/6.25</f>
        <v>27.2</v>
      </c>
      <c r="BW26" s="1961">
        <f>10*0.49*2.29</f>
        <v>11.221000000000002</v>
      </c>
      <c r="BX26" s="1961">
        <f>10*0.72*1.2</f>
        <v>8.6399999999999988</v>
      </c>
      <c r="BY26"/>
      <c r="CR26" s="61"/>
      <c r="CS26" s="51">
        <v>5</v>
      </c>
      <c r="CT26" s="68" t="s">
        <v>277</v>
      </c>
      <c r="CU26" s="261"/>
      <c r="CV26" s="953">
        <v>29</v>
      </c>
      <c r="CW26" s="953">
        <v>49</v>
      </c>
      <c r="CX26" s="204"/>
      <c r="CY26" s="946">
        <v>10</v>
      </c>
      <c r="CZ26" s="946">
        <v>19</v>
      </c>
      <c r="DA26" s="204"/>
      <c r="DB26" s="946">
        <v>34</v>
      </c>
      <c r="DC26" s="964">
        <v>58</v>
      </c>
      <c r="DD26" s="261"/>
      <c r="DE26" s="953">
        <v>25</v>
      </c>
      <c r="DF26" s="953">
        <v>42</v>
      </c>
      <c r="DG26" s="204"/>
      <c r="DH26" s="946">
        <v>7.5</v>
      </c>
      <c r="DI26" s="946">
        <v>17</v>
      </c>
      <c r="DJ26" s="204"/>
      <c r="DK26" s="946">
        <v>35</v>
      </c>
      <c r="DL26" s="964">
        <v>58</v>
      </c>
      <c r="DN26" s="3492"/>
      <c r="DO26" s="177" t="s">
        <v>354</v>
      </c>
      <c r="DP26" s="176" t="s">
        <v>356</v>
      </c>
      <c r="DQ26" s="51" t="s">
        <v>343</v>
      </c>
      <c r="DR26" s="110" t="s">
        <v>248</v>
      </c>
      <c r="DS26" s="36" t="s">
        <v>246</v>
      </c>
      <c r="DT26" s="36" t="s">
        <v>244</v>
      </c>
      <c r="DU26" s="35" t="s">
        <v>248</v>
      </c>
      <c r="DV26" s="36" t="s">
        <v>246</v>
      </c>
      <c r="DW26" s="37" t="s">
        <v>244</v>
      </c>
      <c r="DX26" s="36" t="s">
        <v>248</v>
      </c>
      <c r="DY26" s="36" t="s">
        <v>246</v>
      </c>
      <c r="DZ26" s="109" t="s">
        <v>244</v>
      </c>
      <c r="EB26" s="1156" t="s">
        <v>347</v>
      </c>
      <c r="EC26" s="50" t="s">
        <v>353</v>
      </c>
      <c r="ED26" s="50" t="s">
        <v>381</v>
      </c>
      <c r="EE26" s="107" t="s">
        <v>384</v>
      </c>
      <c r="EF26" s="110" t="s">
        <v>249</v>
      </c>
      <c r="EG26" s="36" t="s">
        <v>247</v>
      </c>
      <c r="EH26" s="36"/>
      <c r="EI26" s="35" t="s">
        <v>249</v>
      </c>
      <c r="EJ26" s="36" t="s">
        <v>247</v>
      </c>
      <c r="EK26" s="37"/>
      <c r="EL26" s="36" t="s">
        <v>249</v>
      </c>
      <c r="EM26" s="36" t="s">
        <v>247</v>
      </c>
      <c r="EN26" s="109"/>
      <c r="FA26" s="1352" t="s">
        <v>1002</v>
      </c>
      <c r="FB26" s="1371">
        <v>14.3</v>
      </c>
      <c r="FC26" s="1371">
        <v>11.8</v>
      </c>
      <c r="FD26" s="1374">
        <f>FD19*FD28/FD21</f>
        <v>14.165022421524665</v>
      </c>
      <c r="FE26" s="1374">
        <f>FE19*FE28/FE21</f>
        <v>11.395348837209301</v>
      </c>
      <c r="FG26" s="676" t="s">
        <v>1497</v>
      </c>
      <c r="FH26" s="1999">
        <f>FI26/1000</f>
        <v>1.032</v>
      </c>
      <c r="FI26" s="2001">
        <v>1032</v>
      </c>
      <c r="FJ26" s="69"/>
      <c r="FK26" s="1999">
        <f t="shared" si="4"/>
        <v>0.84</v>
      </c>
      <c r="FL26" s="2001">
        <v>840</v>
      </c>
      <c r="FM26" s="69"/>
      <c r="FN26" s="1999">
        <f t="shared" si="5"/>
        <v>0.55400000000000005</v>
      </c>
      <c r="FO26" s="2001">
        <v>554</v>
      </c>
      <c r="FP26" s="69"/>
      <c r="GN26" s="1372"/>
      <c r="GO26" s="1372"/>
      <c r="GP26" s="1372"/>
    </row>
    <row r="27" spans="1:198" ht="12.75" customHeight="1" thickTop="1" thickBot="1" x14ac:dyDescent="0.25">
      <c r="A27" s="1442" t="s">
        <v>671</v>
      </c>
      <c r="C27" s="1128" t="str">
        <f ca="1">CELL("adresse",Saisies_Exploitation!AL60)</f>
        <v>'[Bilagreau7 exemple.xlsm]Saisies_Exploitation'!$AL$60</v>
      </c>
      <c r="D27" s="822" t="s">
        <v>963</v>
      </c>
      <c r="E27" s="935">
        <v>0.55000000000000004</v>
      </c>
      <c r="F27" s="935">
        <v>0.6</v>
      </c>
      <c r="G27" s="937">
        <v>0.6</v>
      </c>
      <c r="I27" s="814"/>
      <c r="J27" s="831" t="s">
        <v>112</v>
      </c>
      <c r="K27" s="1419">
        <v>3.15</v>
      </c>
      <c r="L27"/>
      <c r="M27"/>
      <c r="N27"/>
      <c r="O27"/>
      <c r="P27"/>
      <c r="Q27"/>
      <c r="R27"/>
      <c r="S27"/>
      <c r="AD27" t="s">
        <v>1738</v>
      </c>
      <c r="AE27" s="934">
        <v>1</v>
      </c>
      <c r="AF27" s="934">
        <v>0.8</v>
      </c>
      <c r="AH27" s="1237" t="s">
        <v>137</v>
      </c>
      <c r="AI27" s="838" t="s">
        <v>628</v>
      </c>
      <c r="AJ27" s="938">
        <v>25</v>
      </c>
      <c r="AK27" s="938">
        <v>25</v>
      </c>
      <c r="AL27" s="938">
        <v>30</v>
      </c>
      <c r="AM27" s="938">
        <v>36</v>
      </c>
      <c r="AN27" s="938">
        <v>40</v>
      </c>
      <c r="AO27" s="939">
        <v>45</v>
      </c>
      <c r="AQ27" s="188" t="s">
        <v>233</v>
      </c>
      <c r="AR27" s="221" t="s">
        <v>766</v>
      </c>
      <c r="AS27" s="1941">
        <v>4.5999999999999996</v>
      </c>
      <c r="AT27" s="934">
        <v>1.9</v>
      </c>
      <c r="AU27" s="936">
        <v>3.5</v>
      </c>
      <c r="AV27" s="1942">
        <v>4.3</v>
      </c>
      <c r="AW27" s="1942">
        <v>1.2</v>
      </c>
      <c r="AX27" s="1942">
        <v>3.6</v>
      </c>
      <c r="BB27" t="s">
        <v>2274</v>
      </c>
      <c r="BC27" t="s">
        <v>2282</v>
      </c>
      <c r="BD27" s="1107">
        <v>850</v>
      </c>
      <c r="BE27" s="1107">
        <v>27</v>
      </c>
      <c r="BF27" s="1107">
        <v>6.5</v>
      </c>
      <c r="BG27" s="1107">
        <v>40</v>
      </c>
      <c r="BI27" s="1442" t="s">
        <v>1229</v>
      </c>
      <c r="BJ27" s="1527">
        <v>700</v>
      </c>
      <c r="BK27" s="1530">
        <v>48.5</v>
      </c>
      <c r="BL27" s="1684">
        <v>23</v>
      </c>
      <c r="BM27" s="1684">
        <v>19</v>
      </c>
      <c r="BU27" s="630" t="s">
        <v>1757</v>
      </c>
      <c r="BV27" s="1961">
        <f>10*18.4/6.25</f>
        <v>29.44</v>
      </c>
      <c r="BW27" s="1961">
        <f>10*0.61*2.29</f>
        <v>13.968999999999999</v>
      </c>
      <c r="BX27" s="1961">
        <f>10*0.79*1.2</f>
        <v>9.48</v>
      </c>
      <c r="BY27"/>
      <c r="CR27" s="61"/>
      <c r="CS27" s="51">
        <v>6</v>
      </c>
      <c r="CT27" s="68" t="s">
        <v>277</v>
      </c>
      <c r="CU27" s="261"/>
      <c r="CV27" s="953">
        <v>35</v>
      </c>
      <c r="CW27" s="953">
        <v>52</v>
      </c>
      <c r="CX27" s="204"/>
      <c r="CY27" s="946">
        <v>11</v>
      </c>
      <c r="CZ27" s="946">
        <v>20</v>
      </c>
      <c r="DA27" s="204"/>
      <c r="DB27" s="946">
        <v>40</v>
      </c>
      <c r="DC27" s="964">
        <v>63</v>
      </c>
      <c r="DD27" s="261"/>
      <c r="DE27" s="953">
        <v>30</v>
      </c>
      <c r="DF27" s="953">
        <v>46</v>
      </c>
      <c r="DG27" s="204"/>
      <c r="DH27" s="946">
        <v>10</v>
      </c>
      <c r="DI27" s="946">
        <v>16</v>
      </c>
      <c r="DJ27" s="204"/>
      <c r="DK27" s="946">
        <v>43</v>
      </c>
      <c r="DL27" s="964">
        <v>64</v>
      </c>
      <c r="DN27" s="252" t="s">
        <v>345</v>
      </c>
      <c r="DO27" s="253"/>
      <c r="DP27" s="254"/>
      <c r="DQ27" s="255">
        <v>5</v>
      </c>
      <c r="DR27" s="256"/>
      <c r="DS27" s="959">
        <v>43</v>
      </c>
      <c r="DT27" s="959">
        <v>65</v>
      </c>
      <c r="DU27" s="210"/>
      <c r="DV27" s="960">
        <v>12.5</v>
      </c>
      <c r="DW27" s="990">
        <v>29</v>
      </c>
      <c r="DX27" s="118"/>
      <c r="DY27" s="959">
        <v>62</v>
      </c>
      <c r="DZ27" s="996">
        <v>100</v>
      </c>
      <c r="EB27" s="68"/>
      <c r="EC27" s="51" t="s">
        <v>354</v>
      </c>
      <c r="ED27" s="51" t="s">
        <v>382</v>
      </c>
      <c r="EE27" s="111" t="s">
        <v>385</v>
      </c>
      <c r="EF27" s="112" t="s">
        <v>248</v>
      </c>
      <c r="EG27" s="39" t="s">
        <v>246</v>
      </c>
      <c r="EH27" s="39" t="s">
        <v>244</v>
      </c>
      <c r="EI27" s="38" t="s">
        <v>248</v>
      </c>
      <c r="EJ27" s="39" t="s">
        <v>246</v>
      </c>
      <c r="EK27" s="40" t="s">
        <v>244</v>
      </c>
      <c r="EL27" s="39" t="s">
        <v>248</v>
      </c>
      <c r="EM27" s="39" t="s">
        <v>246</v>
      </c>
      <c r="EN27" s="113" t="s">
        <v>244</v>
      </c>
      <c r="FA27" s="1352" t="s">
        <v>1003</v>
      </c>
      <c r="FB27" s="1371">
        <v>0.18</v>
      </c>
      <c r="FC27" s="1371">
        <v>0.17</v>
      </c>
      <c r="FD27" s="1371">
        <v>0.31</v>
      </c>
      <c r="FE27" s="1371">
        <v>0.35</v>
      </c>
      <c r="FG27" s="676" t="s">
        <v>530</v>
      </c>
      <c r="FH27" s="1999">
        <f>FI27/1000</f>
        <v>0.45500000000000002</v>
      </c>
      <c r="FI27" s="2001">
        <v>455</v>
      </c>
      <c r="FJ27" s="69"/>
      <c r="FK27" s="1999">
        <f t="shared" si="4"/>
        <v>0.48099999999999998</v>
      </c>
      <c r="FL27" s="2001">
        <v>481</v>
      </c>
      <c r="FM27" s="69"/>
      <c r="FN27" s="1999">
        <f t="shared" si="5"/>
        <v>0.38500000000000001</v>
      </c>
      <c r="FO27" s="2001">
        <v>385</v>
      </c>
      <c r="FP27" s="69"/>
      <c r="GN27" s="1372"/>
      <c r="GO27" s="1372"/>
      <c r="GP27" s="1372"/>
    </row>
    <row r="28" spans="1:198" ht="12.75" customHeight="1" thickTop="1" thickBot="1" x14ac:dyDescent="0.25">
      <c r="A28" s="1783" t="s">
        <v>1971</v>
      </c>
      <c r="L28"/>
      <c r="M28"/>
      <c r="N28"/>
      <c r="O28"/>
      <c r="P28"/>
      <c r="Q28"/>
      <c r="R28"/>
      <c r="S28"/>
      <c r="AD28" t="s">
        <v>1739</v>
      </c>
      <c r="AE28" s="934">
        <v>0.9</v>
      </c>
      <c r="AF28" s="934">
        <v>0.65</v>
      </c>
      <c r="AH28" s="1237"/>
      <c r="AI28" s="839" t="s">
        <v>630</v>
      </c>
      <c r="AJ28" s="938">
        <v>28</v>
      </c>
      <c r="AK28" s="938">
        <v>44</v>
      </c>
      <c r="AL28" s="938">
        <v>52</v>
      </c>
      <c r="AM28" s="938">
        <v>60</v>
      </c>
      <c r="AN28" s="938">
        <v>67</v>
      </c>
      <c r="AO28" s="939">
        <v>74</v>
      </c>
      <c r="AQ28" s="188" t="s">
        <v>234</v>
      </c>
      <c r="AR28" s="221" t="s">
        <v>766</v>
      </c>
      <c r="AS28" s="1941">
        <v>5.4</v>
      </c>
      <c r="AT28" s="934">
        <v>1.8</v>
      </c>
      <c r="AU28" s="936">
        <v>4</v>
      </c>
      <c r="AV28" s="1942">
        <v>2.5</v>
      </c>
      <c r="AW28" s="1942">
        <v>1.3</v>
      </c>
      <c r="AX28" s="1942">
        <v>4.0999999999999996</v>
      </c>
      <c r="BC28" t="s">
        <v>2283</v>
      </c>
      <c r="BD28" s="1107">
        <v>800</v>
      </c>
      <c r="BE28" s="1107">
        <v>23</v>
      </c>
      <c r="BF28" s="1107">
        <v>5.5</v>
      </c>
      <c r="BG28" s="1107">
        <v>30</v>
      </c>
      <c r="BI28" s="1442" t="s">
        <v>1185</v>
      </c>
      <c r="BJ28" s="1527">
        <v>1100</v>
      </c>
      <c r="BK28" s="1530">
        <v>28.8</v>
      </c>
      <c r="BL28" s="1684">
        <v>11</v>
      </c>
      <c r="BM28" s="1684">
        <v>10</v>
      </c>
      <c r="BU28" s="630" t="s">
        <v>1758</v>
      </c>
      <c r="BV28" s="1961">
        <f>10*19.1/6.25</f>
        <v>30.56</v>
      </c>
      <c r="BW28" s="1961">
        <f>10*0.52*2.29</f>
        <v>11.908000000000001</v>
      </c>
      <c r="BX28" s="1961">
        <f>10*0.79*1.2</f>
        <v>9.48</v>
      </c>
      <c r="BY28"/>
      <c r="CR28" s="72"/>
      <c r="CS28" s="76">
        <v>7</v>
      </c>
      <c r="CT28" s="75" t="s">
        <v>277</v>
      </c>
      <c r="CU28" s="263"/>
      <c r="CV28" s="958">
        <v>41</v>
      </c>
      <c r="CW28" s="958">
        <v>56</v>
      </c>
      <c r="CX28" s="206"/>
      <c r="CY28" s="962">
        <v>13</v>
      </c>
      <c r="CZ28" s="962">
        <v>20</v>
      </c>
      <c r="DA28" s="206"/>
      <c r="DB28" s="962">
        <v>47</v>
      </c>
      <c r="DC28" s="966">
        <v>65</v>
      </c>
      <c r="DD28" s="263"/>
      <c r="DE28" s="958">
        <v>35</v>
      </c>
      <c r="DF28" s="958">
        <v>49</v>
      </c>
      <c r="DG28" s="206"/>
      <c r="DH28" s="962">
        <v>11</v>
      </c>
      <c r="DI28" s="962">
        <v>17</v>
      </c>
      <c r="DJ28" s="206"/>
      <c r="DK28" s="962">
        <v>50</v>
      </c>
      <c r="DL28" s="966">
        <v>69</v>
      </c>
      <c r="DN28" s="257" t="s">
        <v>342</v>
      </c>
      <c r="DO28" s="258"/>
      <c r="DP28" s="259"/>
      <c r="DQ28" s="260">
        <v>6</v>
      </c>
      <c r="DR28" s="261"/>
      <c r="DS28" s="953">
        <v>52</v>
      </c>
      <c r="DT28" s="953">
        <v>69</v>
      </c>
      <c r="DU28" s="204"/>
      <c r="DV28" s="946">
        <v>17.5</v>
      </c>
      <c r="DW28" s="947">
        <v>32</v>
      </c>
      <c r="DX28" s="128"/>
      <c r="DY28" s="953">
        <v>78</v>
      </c>
      <c r="DZ28" s="997">
        <v>110</v>
      </c>
      <c r="EB28" s="52" t="s">
        <v>380</v>
      </c>
      <c r="EC28" s="55">
        <v>1</v>
      </c>
      <c r="ED28" s="517"/>
      <c r="EE28" s="1080"/>
      <c r="EF28" s="105"/>
      <c r="EG28" s="956">
        <v>10</v>
      </c>
      <c r="EH28" s="1055">
        <v>27</v>
      </c>
      <c r="EI28" s="210"/>
      <c r="EJ28" s="956">
        <v>3.5</v>
      </c>
      <c r="EK28" s="1055">
        <v>8</v>
      </c>
      <c r="EL28" s="118"/>
      <c r="EM28" s="956">
        <v>26</v>
      </c>
      <c r="EN28" s="1064">
        <v>38</v>
      </c>
      <c r="FA28" s="1352" t="s">
        <v>1004</v>
      </c>
      <c r="FB28" s="1371">
        <v>1.35</v>
      </c>
      <c r="FC28" s="1371">
        <v>1.21</v>
      </c>
      <c r="FD28" s="1371">
        <v>2.12</v>
      </c>
      <c r="FE28" s="1371">
        <v>1.96</v>
      </c>
      <c r="FG28" s="676" t="s">
        <v>531</v>
      </c>
      <c r="FH28" s="1999">
        <f t="shared" ref="FH28:FH44" si="6">FI28/1000</f>
        <v>0.155</v>
      </c>
      <c r="FI28" s="2001">
        <v>155</v>
      </c>
      <c r="FJ28" s="69"/>
      <c r="FK28" s="1999">
        <f t="shared" si="4"/>
        <v>0.16600000000000001</v>
      </c>
      <c r="FL28" s="2001">
        <v>166</v>
      </c>
      <c r="FM28" s="69"/>
      <c r="FN28" s="1999">
        <f t="shared" si="5"/>
        <v>0.18</v>
      </c>
      <c r="FO28" s="2001">
        <v>180</v>
      </c>
      <c r="FP28" s="235"/>
      <c r="GN28" s="1372"/>
      <c r="GO28" s="1372"/>
      <c r="GP28" s="1372"/>
    </row>
    <row r="29" spans="1:198" ht="12.75" customHeight="1" thickTop="1" x14ac:dyDescent="0.2">
      <c r="K29"/>
      <c r="L29"/>
      <c r="M29"/>
      <c r="N29"/>
      <c r="O29"/>
      <c r="P29"/>
      <c r="Q29"/>
      <c r="R29"/>
      <c r="S29"/>
      <c r="AD29" t="s">
        <v>1740</v>
      </c>
      <c r="AE29" s="934">
        <v>0.95</v>
      </c>
      <c r="AF29" s="934">
        <v>1.1499999999999999</v>
      </c>
      <c r="AH29" s="1237"/>
      <c r="AI29" s="839" t="s">
        <v>631</v>
      </c>
      <c r="AJ29" s="938">
        <v>58</v>
      </c>
      <c r="AK29" s="938">
        <v>65</v>
      </c>
      <c r="AL29" s="938">
        <v>77</v>
      </c>
      <c r="AM29" s="938">
        <v>88</v>
      </c>
      <c r="AN29" s="938">
        <v>100</v>
      </c>
      <c r="AO29" s="939">
        <v>110</v>
      </c>
      <c r="AQ29" s="188" t="s">
        <v>851</v>
      </c>
      <c r="AR29" s="221" t="s">
        <v>766</v>
      </c>
      <c r="AS29" s="1941">
        <v>0</v>
      </c>
      <c r="AT29" s="934">
        <v>1.3</v>
      </c>
      <c r="AU29" s="936">
        <v>3.5</v>
      </c>
      <c r="AV29" s="1942">
        <v>3.4</v>
      </c>
      <c r="AW29" s="1942">
        <v>1</v>
      </c>
      <c r="AX29" s="1942">
        <v>3.5</v>
      </c>
      <c r="BC29" t="s">
        <v>2284</v>
      </c>
      <c r="BD29" s="1107">
        <v>750</v>
      </c>
      <c r="BE29" s="1107">
        <v>20</v>
      </c>
      <c r="BF29" s="1107">
        <v>5</v>
      </c>
      <c r="BG29" s="1107">
        <v>26</v>
      </c>
      <c r="BI29" s="1442" t="s">
        <v>1184</v>
      </c>
      <c r="BJ29" s="1527">
        <v>1000</v>
      </c>
      <c r="BK29" s="1530">
        <v>35.200000000000003</v>
      </c>
      <c r="BL29" s="1684">
        <v>12</v>
      </c>
      <c r="BM29" s="1684">
        <v>11</v>
      </c>
      <c r="BU29" s="1514" t="s">
        <v>1836</v>
      </c>
      <c r="BV29" s="1961">
        <f>10*16.3/6.25</f>
        <v>26.08</v>
      </c>
      <c r="BW29" s="1961">
        <f>10*0.48*2.29</f>
        <v>10.991999999999999</v>
      </c>
      <c r="BX29" s="1961">
        <f>10*0.7*1.2</f>
        <v>8.4</v>
      </c>
      <c r="BY29"/>
      <c r="CR29" s="105" t="s">
        <v>264</v>
      </c>
      <c r="CS29" s="440">
        <v>4</v>
      </c>
      <c r="CT29" s="55" t="s">
        <v>258</v>
      </c>
      <c r="CU29" s="283"/>
      <c r="CV29" s="441"/>
      <c r="CW29" s="441"/>
      <c r="CX29" s="286"/>
      <c r="CY29" s="287"/>
      <c r="CZ29" s="287"/>
      <c r="DA29" s="286"/>
      <c r="DB29" s="287"/>
      <c r="DC29" s="442"/>
      <c r="DD29" s="253"/>
      <c r="DE29" s="959">
        <v>26</v>
      </c>
      <c r="DF29" s="959">
        <v>48</v>
      </c>
      <c r="DG29" s="210"/>
      <c r="DH29" s="960">
        <v>8.5</v>
      </c>
      <c r="DI29" s="960">
        <v>24</v>
      </c>
      <c r="DJ29" s="210"/>
      <c r="DK29" s="960">
        <v>36</v>
      </c>
      <c r="DL29" s="963">
        <v>73</v>
      </c>
      <c r="DN29" s="120"/>
      <c r="DO29" s="258"/>
      <c r="DP29" s="259"/>
      <c r="DQ29" s="260">
        <v>7</v>
      </c>
      <c r="DR29" s="261"/>
      <c r="DS29" s="953">
        <v>59</v>
      </c>
      <c r="DT29" s="953">
        <v>76</v>
      </c>
      <c r="DU29" s="204"/>
      <c r="DV29" s="946">
        <v>20</v>
      </c>
      <c r="DW29" s="947">
        <v>34</v>
      </c>
      <c r="DX29" s="128"/>
      <c r="DY29" s="953">
        <v>93</v>
      </c>
      <c r="DZ29" s="997">
        <v>118</v>
      </c>
      <c r="EB29" s="120"/>
      <c r="EC29" s="34">
        <v>2</v>
      </c>
      <c r="ED29" s="1081"/>
      <c r="EE29" s="1082"/>
      <c r="EF29" s="106"/>
      <c r="EG29" s="1056">
        <v>25</v>
      </c>
      <c r="EH29" s="1056">
        <v>47</v>
      </c>
      <c r="EI29" s="660"/>
      <c r="EJ29" s="1056">
        <v>8</v>
      </c>
      <c r="EK29" s="1056">
        <v>20</v>
      </c>
      <c r="EL29" s="122"/>
      <c r="EM29" s="1056">
        <v>45</v>
      </c>
      <c r="EN29" s="1065">
        <v>68</v>
      </c>
      <c r="FA29" s="1352" t="s">
        <v>1005</v>
      </c>
      <c r="FB29" s="1371">
        <v>1.73</v>
      </c>
      <c r="FC29" s="1371">
        <v>1.55</v>
      </c>
      <c r="FD29" s="1371">
        <v>2.74</v>
      </c>
      <c r="FE29" s="1371">
        <v>3.07</v>
      </c>
      <c r="FG29" s="676" t="s">
        <v>532</v>
      </c>
      <c r="FH29" s="1999">
        <f t="shared" si="6"/>
        <v>0.112</v>
      </c>
      <c r="FI29" s="2001">
        <v>112</v>
      </c>
      <c r="FJ29" s="69"/>
      <c r="FK29" s="1999">
        <f t="shared" si="4"/>
        <v>7.5999999999999998E-2</v>
      </c>
      <c r="FL29" s="2001">
        <v>76</v>
      </c>
      <c r="FM29" s="69"/>
      <c r="FN29" s="1999">
        <f t="shared" si="5"/>
        <v>6.0999999999999999E-2</v>
      </c>
      <c r="FO29" s="2001">
        <v>61</v>
      </c>
      <c r="FP29" s="69"/>
      <c r="GN29" s="1372"/>
      <c r="GO29" s="1372"/>
      <c r="GP29" s="1372"/>
    </row>
    <row r="30" spans="1:198" ht="12.75" customHeight="1" thickBot="1" x14ac:dyDescent="0.25">
      <c r="A30" s="1158" t="s">
        <v>154</v>
      </c>
      <c r="C30" s="1119" t="str">
        <f ca="1">CELL("adresse",Saisies_Exploitation!AL62)</f>
        <v>'[Bilagreau7 exemple.xlsm]Saisies_Exploitation'!$AL$62</v>
      </c>
      <c r="D30" s="820" t="s">
        <v>964</v>
      </c>
      <c r="E30" s="3482" t="s">
        <v>938</v>
      </c>
      <c r="F30" s="3482"/>
      <c r="G30" s="3483"/>
      <c r="K30" s="850" t="s">
        <v>1017</v>
      </c>
      <c r="AD30" t="s">
        <v>1741</v>
      </c>
      <c r="AE30" s="934">
        <v>0.65</v>
      </c>
      <c r="AF30" s="934">
        <v>0.5</v>
      </c>
      <c r="AH30" s="607"/>
      <c r="AI30" s="840" t="s">
        <v>629</v>
      </c>
      <c r="AJ30" s="940">
        <v>65</v>
      </c>
      <c r="AK30" s="940">
        <v>80</v>
      </c>
      <c r="AL30" s="940">
        <v>94</v>
      </c>
      <c r="AM30" s="940">
        <v>107</v>
      </c>
      <c r="AN30" s="940">
        <v>120</v>
      </c>
      <c r="AO30" s="941">
        <v>130</v>
      </c>
      <c r="AQ30" s="188" t="s">
        <v>232</v>
      </c>
      <c r="AR30" s="221" t="s">
        <v>766</v>
      </c>
      <c r="AS30" s="1941">
        <v>0</v>
      </c>
      <c r="AT30" s="934">
        <v>1.5</v>
      </c>
      <c r="AU30" s="936">
        <v>4</v>
      </c>
      <c r="AV30" s="1942">
        <v>5</v>
      </c>
      <c r="AW30" s="1942">
        <v>1</v>
      </c>
      <c r="AX30" s="1942">
        <v>3.5</v>
      </c>
      <c r="BC30" t="s">
        <v>2285</v>
      </c>
      <c r="BD30" s="1107">
        <v>780</v>
      </c>
      <c r="BE30" s="1107">
        <v>23</v>
      </c>
      <c r="BF30" s="1107">
        <v>5.5</v>
      </c>
      <c r="BG30" s="1107">
        <v>30</v>
      </c>
      <c r="BI30" s="1442" t="s">
        <v>1269</v>
      </c>
      <c r="BJ30" s="1527">
        <v>1000</v>
      </c>
      <c r="BK30" s="1530">
        <v>64</v>
      </c>
      <c r="BL30" s="1684">
        <v>13</v>
      </c>
      <c r="BM30" s="1684">
        <v>19</v>
      </c>
      <c r="BU30" s="630" t="s">
        <v>1291</v>
      </c>
      <c r="BV30" s="1961">
        <f>10*16.5/6.25</f>
        <v>26.4</v>
      </c>
      <c r="BW30" s="1961">
        <f>10*0.61*2.29</f>
        <v>13.968999999999999</v>
      </c>
      <c r="BX30" s="1961">
        <f>10*0.8*1.2</f>
        <v>9.6</v>
      </c>
      <c r="BY30"/>
      <c r="CR30" s="125">
        <v>3</v>
      </c>
      <c r="CS30" s="51">
        <v>5</v>
      </c>
      <c r="CT30" s="68" t="s">
        <v>258</v>
      </c>
      <c r="CU30" s="289"/>
      <c r="CV30" s="325"/>
      <c r="CW30" s="325"/>
      <c r="CX30" s="292"/>
      <c r="CY30" s="293"/>
      <c r="CZ30" s="293"/>
      <c r="DA30" s="292"/>
      <c r="DB30" s="293"/>
      <c r="DC30" s="443"/>
      <c r="DD30" s="258"/>
      <c r="DE30" s="953">
        <v>35</v>
      </c>
      <c r="DF30" s="953">
        <v>51</v>
      </c>
      <c r="DG30" s="204"/>
      <c r="DH30" s="946">
        <v>11.5</v>
      </c>
      <c r="DI30" s="946">
        <v>24</v>
      </c>
      <c r="DJ30" s="204"/>
      <c r="DK30" s="946">
        <v>45</v>
      </c>
      <c r="DL30" s="964">
        <v>80</v>
      </c>
      <c r="DN30" s="262"/>
      <c r="DO30" s="258"/>
      <c r="DP30" s="259"/>
      <c r="DQ30" s="260">
        <v>8</v>
      </c>
      <c r="DR30" s="263"/>
      <c r="DS30" s="958">
        <v>68</v>
      </c>
      <c r="DT30" s="958">
        <v>82</v>
      </c>
      <c r="DU30" s="206"/>
      <c r="DV30" s="962">
        <v>22</v>
      </c>
      <c r="DW30" s="995">
        <v>35</v>
      </c>
      <c r="DX30" s="207"/>
      <c r="DY30" s="958">
        <v>108</v>
      </c>
      <c r="DZ30" s="1002">
        <v>127</v>
      </c>
      <c r="EB30" s="120"/>
      <c r="EC30" s="68">
        <v>3</v>
      </c>
      <c r="ED30" s="366">
        <v>28</v>
      </c>
      <c r="EE30" s="109" t="s">
        <v>183</v>
      </c>
      <c r="EF30" s="125"/>
      <c r="EG30" s="938">
        <v>0</v>
      </c>
      <c r="EH30" s="938">
        <v>16</v>
      </c>
      <c r="EI30" s="204"/>
      <c r="EJ30" s="938">
        <v>0</v>
      </c>
      <c r="EK30" s="938">
        <v>4.5</v>
      </c>
      <c r="EL30" s="128"/>
      <c r="EM30" s="938">
        <v>0</v>
      </c>
      <c r="EN30" s="1066">
        <v>15</v>
      </c>
      <c r="FA30" s="1365" t="s">
        <v>2002</v>
      </c>
      <c r="FB30" s="1379">
        <v>1.4999999999999999E-2</v>
      </c>
      <c r="FC30" s="1379">
        <v>1.4E-2</v>
      </c>
      <c r="FD30" s="1380">
        <v>2.4E-2</v>
      </c>
      <c r="FE30" s="1380">
        <v>2.1999999999999999E-2</v>
      </c>
      <c r="FP30" s="69"/>
      <c r="GN30" s="1372"/>
      <c r="GO30" s="1372"/>
      <c r="GP30" s="1372"/>
    </row>
    <row r="31" spans="1:198" ht="12.75" customHeight="1" thickTop="1" x14ac:dyDescent="0.2">
      <c r="A31" s="1157" t="s">
        <v>671</v>
      </c>
      <c r="C31" s="1127"/>
      <c r="D31" s="605"/>
      <c r="E31" s="605" t="s">
        <v>567</v>
      </c>
      <c r="F31" s="605" t="s">
        <v>568</v>
      </c>
      <c r="G31" s="606" t="s">
        <v>569</v>
      </c>
      <c r="J31" s="1204" t="str">
        <f>J4</f>
        <v>Production laitière</v>
      </c>
      <c r="K31" s="24">
        <f>K4</f>
        <v>6000</v>
      </c>
      <c r="L31" s="25">
        <f t="shared" ref="L31:S31" si="7">L4</f>
        <v>6000</v>
      </c>
      <c r="M31" s="26">
        <f t="shared" si="7"/>
        <v>6000</v>
      </c>
      <c r="N31" s="24" t="str">
        <f t="shared" si="7"/>
        <v>6000-8000</v>
      </c>
      <c r="O31" s="25" t="str">
        <f t="shared" si="7"/>
        <v>6000-8000</v>
      </c>
      <c r="P31" s="26" t="str">
        <f t="shared" si="7"/>
        <v>6000-8000</v>
      </c>
      <c r="Q31" s="24">
        <f t="shared" si="7"/>
        <v>8000</v>
      </c>
      <c r="R31" s="25">
        <f t="shared" si="7"/>
        <v>8000</v>
      </c>
      <c r="S31" s="26">
        <f t="shared" si="7"/>
        <v>8000</v>
      </c>
      <c r="AD31" t="s">
        <v>1742</v>
      </c>
      <c r="AE31" s="934">
        <v>0.64</v>
      </c>
      <c r="AF31" s="934">
        <v>1.71</v>
      </c>
      <c r="AQ31" s="188" t="s">
        <v>697</v>
      </c>
      <c r="AR31" s="221" t="s">
        <v>766</v>
      </c>
      <c r="AS31" s="1941">
        <v>3.8</v>
      </c>
      <c r="AT31" s="934">
        <v>1.2</v>
      </c>
      <c r="AU31" s="936">
        <v>4.2</v>
      </c>
      <c r="AV31" s="1942">
        <v>3.5</v>
      </c>
      <c r="AW31" s="1942">
        <v>1</v>
      </c>
      <c r="AX31" s="1942">
        <v>3.9</v>
      </c>
      <c r="BB31" t="s">
        <v>2275</v>
      </c>
      <c r="BC31" t="s">
        <v>2282</v>
      </c>
      <c r="BD31" s="1107">
        <v>900</v>
      </c>
      <c r="BE31" s="1107">
        <v>30</v>
      </c>
      <c r="BF31" s="1107">
        <v>6</v>
      </c>
      <c r="BG31" s="1107">
        <v>35</v>
      </c>
      <c r="BU31" s="630" t="s">
        <v>1496</v>
      </c>
      <c r="BV31" s="1961">
        <f>10*16.5/6.25</f>
        <v>26.4</v>
      </c>
      <c r="BW31" s="1961">
        <f>10*0.5*2.29</f>
        <v>11.45</v>
      </c>
      <c r="BX31" s="1961">
        <f>10*0.77*1.2</f>
        <v>9.24</v>
      </c>
      <c r="BY31"/>
      <c r="CR31" s="257" t="s">
        <v>278</v>
      </c>
      <c r="CS31" s="127">
        <v>6</v>
      </c>
      <c r="CT31" s="68" t="s">
        <v>258</v>
      </c>
      <c r="CU31" s="289"/>
      <c r="CV31" s="325"/>
      <c r="CW31" s="325"/>
      <c r="CX31" s="292"/>
      <c r="CY31" s="293"/>
      <c r="CZ31" s="293"/>
      <c r="DA31" s="292"/>
      <c r="DB31" s="293"/>
      <c r="DC31" s="443"/>
      <c r="DD31" s="258"/>
      <c r="DE31" s="953">
        <v>42</v>
      </c>
      <c r="DF31" s="953">
        <v>56</v>
      </c>
      <c r="DG31" s="204"/>
      <c r="DH31" s="946">
        <v>14</v>
      </c>
      <c r="DI31" s="946">
        <v>25</v>
      </c>
      <c r="DJ31" s="204"/>
      <c r="DK31" s="946">
        <v>54</v>
      </c>
      <c r="DL31" s="964">
        <v>86</v>
      </c>
      <c r="DN31" s="1346" t="s">
        <v>351</v>
      </c>
      <c r="DO31" s="81">
        <v>1</v>
      </c>
      <c r="DP31" s="81"/>
      <c r="DQ31" s="265"/>
      <c r="DR31" s="266"/>
      <c r="DS31" s="988">
        <v>10</v>
      </c>
      <c r="DT31" s="988">
        <v>27</v>
      </c>
      <c r="DU31" s="268"/>
      <c r="DV31" s="991">
        <v>3.5</v>
      </c>
      <c r="DW31" s="992">
        <v>8</v>
      </c>
      <c r="DX31" s="269"/>
      <c r="DY31" s="988">
        <v>26</v>
      </c>
      <c r="DZ31" s="998">
        <v>38</v>
      </c>
      <c r="EB31" s="120"/>
      <c r="EC31" s="68"/>
      <c r="ED31" s="366"/>
      <c r="EE31" s="109" t="s">
        <v>163</v>
      </c>
      <c r="EF31" s="125"/>
      <c r="EG31" s="68"/>
      <c r="EH31" s="938">
        <v>29</v>
      </c>
      <c r="EI31" s="204"/>
      <c r="EJ31" s="68"/>
      <c r="EK31" s="938">
        <v>9</v>
      </c>
      <c r="EL31" s="128"/>
      <c r="EM31" s="68"/>
      <c r="EN31" s="1066">
        <v>36</v>
      </c>
      <c r="FG31" t="s">
        <v>2003</v>
      </c>
      <c r="FH31" s="1999">
        <f t="shared" si="6"/>
        <v>0.17399999999999999</v>
      </c>
      <c r="FI31" s="2001">
        <v>174</v>
      </c>
      <c r="FJ31" s="69"/>
      <c r="FK31" s="1999">
        <f t="shared" ref="FK31:FK44" si="8">FL31/1000</f>
        <v>0.153</v>
      </c>
      <c r="FL31" s="2001">
        <v>153</v>
      </c>
      <c r="FM31" s="69"/>
      <c r="FN31" s="1999">
        <f t="shared" ref="FN31:FN44" si="9">FO31/1000</f>
        <v>0.14399999999999999</v>
      </c>
      <c r="FO31" s="2001">
        <v>144</v>
      </c>
    </row>
    <row r="32" spans="1:198" ht="12.75" customHeight="1" x14ac:dyDescent="0.2">
      <c r="A32" s="1158" t="s">
        <v>1371</v>
      </c>
      <c r="C32" s="1127"/>
      <c r="D32" s="605"/>
      <c r="E32" s="621" t="s">
        <v>935</v>
      </c>
      <c r="F32" s="621" t="s">
        <v>936</v>
      </c>
      <c r="G32" s="760" t="s">
        <v>937</v>
      </c>
      <c r="J32" s="1204" t="str">
        <f>J5</f>
        <v>Durée pâturage</v>
      </c>
      <c r="K32" s="27">
        <f t="shared" ref="K32:S32" si="10">K5</f>
        <v>4</v>
      </c>
      <c r="L32" s="28" t="str">
        <f t="shared" si="10"/>
        <v>4-7</v>
      </c>
      <c r="M32" s="29">
        <f t="shared" si="10"/>
        <v>7</v>
      </c>
      <c r="N32" s="28">
        <f t="shared" si="10"/>
        <v>4</v>
      </c>
      <c r="O32" s="28" t="str">
        <f t="shared" si="10"/>
        <v>4-7</v>
      </c>
      <c r="P32" s="28">
        <f t="shared" si="10"/>
        <v>7</v>
      </c>
      <c r="Q32" s="27">
        <f t="shared" si="10"/>
        <v>4</v>
      </c>
      <c r="R32" s="28" t="str">
        <f t="shared" si="10"/>
        <v>4-7</v>
      </c>
      <c r="S32" s="29">
        <f t="shared" si="10"/>
        <v>7</v>
      </c>
      <c r="AA32" t="s">
        <v>671</v>
      </c>
      <c r="AD32" t="s">
        <v>443</v>
      </c>
      <c r="AE32" s="934">
        <v>1.32</v>
      </c>
      <c r="AF32" s="934">
        <v>1.43</v>
      </c>
      <c r="AH32" s="607"/>
      <c r="AI32" s="607"/>
      <c r="AJ32" s="607"/>
      <c r="AK32" s="607"/>
      <c r="AL32" s="607"/>
      <c r="AQ32" s="188" t="s">
        <v>850</v>
      </c>
      <c r="AR32" s="221" t="s">
        <v>766</v>
      </c>
      <c r="AS32" s="1941">
        <v>4.5</v>
      </c>
      <c r="AT32" s="934">
        <v>1.4</v>
      </c>
      <c r="AU32" s="936">
        <v>5.5</v>
      </c>
      <c r="AV32" s="1942">
        <v>3.5</v>
      </c>
      <c r="AW32" s="1942">
        <v>1.2</v>
      </c>
      <c r="AX32" s="1942">
        <v>5.0999999999999996</v>
      </c>
      <c r="BC32" t="s">
        <v>2287</v>
      </c>
      <c r="BD32" s="1107">
        <v>800</v>
      </c>
      <c r="BE32" s="1107">
        <v>25</v>
      </c>
      <c r="BF32" s="1107">
        <v>5.5</v>
      </c>
      <c r="BG32" s="1107">
        <v>25</v>
      </c>
      <c r="BU32" s="630" t="s">
        <v>1497</v>
      </c>
      <c r="BV32" s="1961">
        <f>10*15.5/6.25</f>
        <v>24.8</v>
      </c>
      <c r="BW32" s="1961">
        <f>10*0.5*2.29</f>
        <v>11.45</v>
      </c>
      <c r="BX32" s="1961">
        <f>10*0.59*1.2</f>
        <v>7.0799999999999992</v>
      </c>
      <c r="BY32"/>
      <c r="CR32" s="257" t="s">
        <v>279</v>
      </c>
      <c r="CS32" s="127">
        <v>7</v>
      </c>
      <c r="CT32" s="68" t="s">
        <v>258</v>
      </c>
      <c r="CU32" s="289"/>
      <c r="CV32" s="325"/>
      <c r="CW32" s="325"/>
      <c r="CX32" s="292"/>
      <c r="CY32" s="293"/>
      <c r="CZ32" s="293"/>
      <c r="DA32" s="292"/>
      <c r="DB32" s="293"/>
      <c r="DC32" s="443"/>
      <c r="DD32" s="258"/>
      <c r="DE32" s="953">
        <v>48</v>
      </c>
      <c r="DF32" s="953">
        <v>60</v>
      </c>
      <c r="DG32" s="204"/>
      <c r="DH32" s="946">
        <v>14.5</v>
      </c>
      <c r="DI32" s="946">
        <v>25</v>
      </c>
      <c r="DJ32" s="204"/>
      <c r="DK32" s="946">
        <v>63</v>
      </c>
      <c r="DL32" s="964">
        <v>93</v>
      </c>
      <c r="DN32" s="125" t="s">
        <v>352</v>
      </c>
      <c r="DO32" s="50">
        <v>2</v>
      </c>
      <c r="DP32" s="50"/>
      <c r="DQ32" s="212">
        <v>5</v>
      </c>
      <c r="DR32" s="270"/>
      <c r="DS32" s="989">
        <v>23</v>
      </c>
      <c r="DT32" s="989">
        <v>37</v>
      </c>
      <c r="DU32" s="214"/>
      <c r="DV32" s="993">
        <v>7</v>
      </c>
      <c r="DW32" s="952">
        <v>17.5</v>
      </c>
      <c r="DX32" s="215"/>
      <c r="DY32" s="989">
        <v>34</v>
      </c>
      <c r="DZ32" s="999">
        <v>56</v>
      </c>
      <c r="EB32" s="120"/>
      <c r="EC32" s="68"/>
      <c r="ED32" s="459">
        <v>30</v>
      </c>
      <c r="EE32" s="1083" t="s">
        <v>183</v>
      </c>
      <c r="EF32" s="132"/>
      <c r="EG32" s="971">
        <v>0</v>
      </c>
      <c r="EH32" s="971">
        <v>23</v>
      </c>
      <c r="EI32" s="279"/>
      <c r="EJ32" s="971">
        <v>0</v>
      </c>
      <c r="EK32" s="971">
        <v>6</v>
      </c>
      <c r="EL32" s="136"/>
      <c r="EM32" s="971">
        <v>0</v>
      </c>
      <c r="EN32" s="1067">
        <v>22</v>
      </c>
      <c r="FG32" s="676" t="s">
        <v>2004</v>
      </c>
      <c r="FH32" s="1999">
        <f t="shared" si="6"/>
        <v>0.20699999999999999</v>
      </c>
      <c r="FI32" s="2001">
        <v>207</v>
      </c>
      <c r="FJ32" s="69"/>
      <c r="FK32" s="1999">
        <f t="shared" si="8"/>
        <v>0.17399999999999999</v>
      </c>
      <c r="FL32" s="2001">
        <v>174</v>
      </c>
      <c r="FM32" s="69"/>
      <c r="FN32" s="1999">
        <f t="shared" si="9"/>
        <v>0.16400000000000001</v>
      </c>
      <c r="FO32" s="2001">
        <v>164</v>
      </c>
    </row>
    <row r="33" spans="1:172" ht="12.75" customHeight="1" x14ac:dyDescent="0.2">
      <c r="A33" s="1157" t="s">
        <v>671</v>
      </c>
      <c r="C33" s="604"/>
      <c r="D33" s="1686"/>
      <c r="E33" s="2003">
        <f>E37/2</f>
        <v>0.35</v>
      </c>
      <c r="F33" s="2003">
        <f>F37/2</f>
        <v>0.375</v>
      </c>
      <c r="G33" s="2003">
        <f>G37/2</f>
        <v>0.4</v>
      </c>
      <c r="I33" s="1041" t="str">
        <f>I6</f>
        <v>Troupeau laitier</v>
      </c>
      <c r="J33" s="1111"/>
      <c r="K33" s="1041"/>
      <c r="L33" s="1111"/>
      <c r="M33" s="1111"/>
      <c r="N33" s="1041"/>
      <c r="O33" s="1111"/>
      <c r="P33" s="1113"/>
      <c r="Q33" s="1111"/>
      <c r="R33" s="1111"/>
      <c r="S33" s="1113"/>
      <c r="AA33" t="s">
        <v>671</v>
      </c>
      <c r="AD33" t="s">
        <v>1803</v>
      </c>
      <c r="AE33" s="934">
        <v>0.35</v>
      </c>
      <c r="AF33" s="934">
        <v>1.5</v>
      </c>
      <c r="AH33" s="2104" t="str">
        <f ca="1">CELL("adresse",Ferti_Prairies!AA37)</f>
        <v>'[Bilagreau7 exemple.xlsm]Ferti_Prairies'!$AA$37</v>
      </c>
      <c r="AI33" s="605"/>
      <c r="AJ33" s="621" t="s">
        <v>625</v>
      </c>
      <c r="AK33" s="621" t="s">
        <v>187</v>
      </c>
      <c r="AL33" s="760" t="s">
        <v>665</v>
      </c>
      <c r="BC33" t="s">
        <v>2288</v>
      </c>
      <c r="BD33" s="1107">
        <v>750</v>
      </c>
      <c r="BE33" s="1107">
        <v>22</v>
      </c>
      <c r="BF33" s="1107">
        <v>5</v>
      </c>
      <c r="BG33" s="1107">
        <v>20</v>
      </c>
      <c r="BU33" s="630" t="s">
        <v>1934</v>
      </c>
      <c r="BV33" s="1961">
        <f>10*14.7/6.25</f>
        <v>23.52</v>
      </c>
      <c r="BW33" s="1961">
        <f>10*0.53*2.29</f>
        <v>12.137000000000002</v>
      </c>
      <c r="BX33" s="1961">
        <f>10*0.69*1.2</f>
        <v>8.2799999999999994</v>
      </c>
      <c r="BY33"/>
      <c r="CR33" s="125"/>
      <c r="CS33" s="130">
        <v>4</v>
      </c>
      <c r="CT33" s="133" t="s">
        <v>276</v>
      </c>
      <c r="CU33" s="327"/>
      <c r="CV33" s="444"/>
      <c r="CW33" s="444"/>
      <c r="CX33" s="445"/>
      <c r="CY33" s="329"/>
      <c r="CZ33" s="329"/>
      <c r="DA33" s="445"/>
      <c r="DB33" s="329"/>
      <c r="DC33" s="446"/>
      <c r="DD33" s="278"/>
      <c r="DE33" s="957">
        <v>26</v>
      </c>
      <c r="DF33" s="957">
        <v>53</v>
      </c>
      <c r="DG33" s="279"/>
      <c r="DH33" s="961">
        <v>8.5</v>
      </c>
      <c r="DI33" s="961">
        <v>24</v>
      </c>
      <c r="DJ33" s="279"/>
      <c r="DK33" s="961">
        <v>36</v>
      </c>
      <c r="DL33" s="965">
        <v>73</v>
      </c>
      <c r="DN33" s="61"/>
      <c r="DO33" s="51"/>
      <c r="DP33" s="51"/>
      <c r="DQ33" s="126">
        <v>6</v>
      </c>
      <c r="DR33" s="261"/>
      <c r="DS33" s="953">
        <v>25</v>
      </c>
      <c r="DT33" s="953">
        <v>38</v>
      </c>
      <c r="DU33" s="204"/>
      <c r="DV33" s="946">
        <v>9</v>
      </c>
      <c r="DW33" s="947">
        <v>18</v>
      </c>
      <c r="DX33" s="128"/>
      <c r="DY33" s="953">
        <v>40</v>
      </c>
      <c r="DZ33" s="997">
        <v>59</v>
      </c>
      <c r="EB33" s="120"/>
      <c r="EC33" s="68"/>
      <c r="ED33" s="1084"/>
      <c r="EE33" s="1085" t="s">
        <v>163</v>
      </c>
      <c r="EF33" s="140"/>
      <c r="EG33" s="141"/>
      <c r="EH33" s="1057">
        <v>46</v>
      </c>
      <c r="EI33" s="661"/>
      <c r="EJ33" s="141"/>
      <c r="EK33" s="1057">
        <v>15</v>
      </c>
      <c r="EL33" s="142"/>
      <c r="EM33" s="141"/>
      <c r="EN33" s="1068">
        <v>54</v>
      </c>
      <c r="FA33" s="32"/>
      <c r="FB33" s="1340" t="s">
        <v>186</v>
      </c>
      <c r="FC33" s="1340" t="s">
        <v>186</v>
      </c>
      <c r="FD33" s="1340" t="s">
        <v>187</v>
      </c>
      <c r="FE33" s="1340" t="s">
        <v>665</v>
      </c>
      <c r="FG33" s="676" t="s">
        <v>2005</v>
      </c>
      <c r="FH33" s="1999">
        <f t="shared" si="6"/>
        <v>0.56399999999999995</v>
      </c>
      <c r="FI33" s="2001">
        <v>564</v>
      </c>
      <c r="FJ33" s="69"/>
      <c r="FK33" s="1999">
        <f t="shared" si="8"/>
        <v>0.72399999999999998</v>
      </c>
      <c r="FL33" s="2001">
        <v>724</v>
      </c>
      <c r="FM33" s="69"/>
      <c r="FN33" s="1999">
        <f t="shared" si="9"/>
        <v>0.69599999999999995</v>
      </c>
      <c r="FO33" s="2001">
        <v>696</v>
      </c>
    </row>
    <row r="34" spans="1:172" ht="12.75" customHeight="1" thickBot="1" x14ac:dyDescent="0.25">
      <c r="A34" s="1158" t="s">
        <v>16</v>
      </c>
      <c r="C34" s="1127"/>
      <c r="D34" s="605"/>
      <c r="E34" s="3481" t="s">
        <v>939</v>
      </c>
      <c r="F34" s="3481"/>
      <c r="G34" s="3484"/>
      <c r="I34" s="814"/>
      <c r="J34" s="831" t="str">
        <f>J7</f>
        <v>● vaches en production</v>
      </c>
      <c r="K34" s="1415">
        <v>35</v>
      </c>
      <c r="L34" s="1212">
        <v>37</v>
      </c>
      <c r="M34" s="1212">
        <v>39</v>
      </c>
      <c r="N34" s="1415">
        <v>40</v>
      </c>
      <c r="O34" s="1212">
        <v>42</v>
      </c>
      <c r="P34" s="1316">
        <v>43</v>
      </c>
      <c r="Q34" s="1212">
        <v>42</v>
      </c>
      <c r="R34" s="1212">
        <v>46</v>
      </c>
      <c r="S34" s="1316">
        <v>47</v>
      </c>
      <c r="AD34" t="s">
        <v>1804</v>
      </c>
      <c r="AE34" s="934">
        <v>0.56999999999999995</v>
      </c>
      <c r="AF34" s="934">
        <v>1.1000000000000001</v>
      </c>
      <c r="AH34" s="822" t="s">
        <v>141</v>
      </c>
      <c r="AI34" s="822"/>
      <c r="AJ34" s="935">
        <v>0.7</v>
      </c>
      <c r="AK34" s="935">
        <v>0.85</v>
      </c>
      <c r="AL34" s="937">
        <v>1</v>
      </c>
      <c r="AQ34" s="1042" t="str">
        <f ca="1">CELL("adresse",Ferti_Cultures!AM19)</f>
        <v>'[Bilagreau7 exemple.xlsm]Ferti_Cultures'!$AM$19</v>
      </c>
      <c r="AR34" s="841" t="s">
        <v>29</v>
      </c>
      <c r="AS34" s="841"/>
      <c r="AT34" s="841"/>
      <c r="AU34" s="841"/>
      <c r="AV34" s="841"/>
      <c r="AW34" s="841"/>
      <c r="AX34" s="841"/>
      <c r="BB34" t="s">
        <v>512</v>
      </c>
      <c r="BD34" s="1107">
        <v>850</v>
      </c>
      <c r="BE34" s="1107">
        <v>27</v>
      </c>
      <c r="BF34" s="1107">
        <v>8</v>
      </c>
      <c r="BG34" s="1107">
        <v>45</v>
      </c>
      <c r="BU34" s="630" t="s">
        <v>531</v>
      </c>
      <c r="BV34" s="1961">
        <f>10*14.7/6.25</f>
        <v>23.52</v>
      </c>
      <c r="BW34" s="1961">
        <f>10*0.49*2.29</f>
        <v>11.221000000000002</v>
      </c>
      <c r="BX34" s="1961">
        <f>10*0.65*1.2</f>
        <v>7.8</v>
      </c>
      <c r="BY34"/>
      <c r="CR34" s="125"/>
      <c r="CS34" s="51">
        <v>5</v>
      </c>
      <c r="CT34" s="68" t="s">
        <v>276</v>
      </c>
      <c r="CU34" s="289"/>
      <c r="CV34" s="325"/>
      <c r="CW34" s="325"/>
      <c r="CX34" s="292"/>
      <c r="CY34" s="293"/>
      <c r="CZ34" s="293"/>
      <c r="DA34" s="292"/>
      <c r="DB34" s="293"/>
      <c r="DC34" s="443"/>
      <c r="DD34" s="258"/>
      <c r="DE34" s="953">
        <v>35</v>
      </c>
      <c r="DF34" s="953">
        <v>56</v>
      </c>
      <c r="DG34" s="204"/>
      <c r="DH34" s="946">
        <v>11.5</v>
      </c>
      <c r="DI34" s="946">
        <v>24</v>
      </c>
      <c r="DJ34" s="204"/>
      <c r="DK34" s="946">
        <v>45</v>
      </c>
      <c r="DL34" s="964">
        <v>80</v>
      </c>
      <c r="DN34" s="61"/>
      <c r="DO34" s="51"/>
      <c r="DP34" s="51"/>
      <c r="DQ34" s="126">
        <v>7</v>
      </c>
      <c r="DR34" s="261"/>
      <c r="DS34" s="953">
        <v>32</v>
      </c>
      <c r="DT34" s="953">
        <v>44</v>
      </c>
      <c r="DU34" s="204"/>
      <c r="DV34" s="946">
        <v>11</v>
      </c>
      <c r="DW34" s="947">
        <v>18</v>
      </c>
      <c r="DX34" s="128"/>
      <c r="DY34" s="953">
        <v>47</v>
      </c>
      <c r="DZ34" s="997">
        <v>63</v>
      </c>
      <c r="EB34" s="120"/>
      <c r="EC34" s="68"/>
      <c r="ED34" s="366">
        <v>33</v>
      </c>
      <c r="EE34" s="109"/>
      <c r="EF34" s="125"/>
      <c r="EG34" s="938">
        <v>46</v>
      </c>
      <c r="EH34" s="938">
        <v>59</v>
      </c>
      <c r="EI34" s="204"/>
      <c r="EJ34" s="938">
        <v>15</v>
      </c>
      <c r="EK34" s="938">
        <v>19</v>
      </c>
      <c r="EL34" s="128"/>
      <c r="EM34" s="938">
        <v>46</v>
      </c>
      <c r="EN34" s="1066">
        <v>64</v>
      </c>
      <c r="FA34" s="47"/>
      <c r="FB34" s="1340" t="s">
        <v>1007</v>
      </c>
      <c r="FC34" s="1340" t="s">
        <v>1006</v>
      </c>
      <c r="FD34" s="1340"/>
      <c r="FE34" s="1340"/>
      <c r="FG34" s="1579" t="s">
        <v>2006</v>
      </c>
      <c r="FH34" s="1999">
        <f t="shared" si="6"/>
        <v>0.76</v>
      </c>
      <c r="FI34" s="2001">
        <v>760</v>
      </c>
      <c r="FJ34" s="69"/>
      <c r="FK34" s="1999">
        <f t="shared" si="8"/>
        <v>1</v>
      </c>
      <c r="FL34" s="2001">
        <v>1000</v>
      </c>
      <c r="FM34" s="69"/>
      <c r="FN34" s="1999">
        <f t="shared" si="9"/>
        <v>0.91</v>
      </c>
      <c r="FO34" s="2001">
        <v>910</v>
      </c>
    </row>
    <row r="35" spans="1:172" ht="12.75" customHeight="1" thickTop="1" thickBot="1" x14ac:dyDescent="0.25">
      <c r="A35" s="1157" t="s">
        <v>671</v>
      </c>
      <c r="C35" s="604"/>
      <c r="D35" s="605"/>
      <c r="E35" s="605" t="s">
        <v>567</v>
      </c>
      <c r="F35" s="605" t="s">
        <v>568</v>
      </c>
      <c r="G35" s="606" t="s">
        <v>569</v>
      </c>
      <c r="I35" s="1041"/>
      <c r="J35" s="1111" t="str">
        <f>J8</f>
        <v>● génisses (0-12 mois; année 1)</v>
      </c>
      <c r="K35" s="1416">
        <v>7</v>
      </c>
      <c r="L35"/>
      <c r="M35"/>
      <c r="N35"/>
      <c r="O35"/>
      <c r="P35"/>
      <c r="Q35"/>
      <c r="R35"/>
      <c r="S35"/>
      <c r="AD35" t="s">
        <v>1805</v>
      </c>
      <c r="AE35" s="934">
        <v>0.47</v>
      </c>
      <c r="AF35" s="934">
        <v>1.3</v>
      </c>
      <c r="AQ35" s="1125" t="s">
        <v>30</v>
      </c>
      <c r="AR35" s="3467" t="s">
        <v>742</v>
      </c>
      <c r="AS35" s="3468"/>
      <c r="AT35" s="3468"/>
      <c r="AU35" s="3468"/>
      <c r="AV35" s="3468"/>
      <c r="AW35" s="3469"/>
      <c r="BB35" s="1686"/>
      <c r="BC35" s="1686"/>
      <c r="BD35" s="1686"/>
      <c r="BE35" s="1686"/>
      <c r="BF35" s="1686"/>
      <c r="BG35" s="1686"/>
      <c r="BU35" s="630" t="s">
        <v>1937</v>
      </c>
      <c r="BV35" s="1961">
        <f>10*7.6/6.25</f>
        <v>12.16</v>
      </c>
      <c r="BW35" s="1961">
        <f>10*0.23*2.29</f>
        <v>5.2670000000000003</v>
      </c>
      <c r="BX35" s="1961">
        <f>10*0.33*1.2</f>
        <v>3.96</v>
      </c>
      <c r="BY35"/>
      <c r="CR35" s="125"/>
      <c r="CS35" s="51">
        <v>6</v>
      </c>
      <c r="CT35" s="68" t="s">
        <v>276</v>
      </c>
      <c r="CU35" s="289"/>
      <c r="CV35" s="325"/>
      <c r="CW35" s="325"/>
      <c r="CX35" s="292"/>
      <c r="CY35" s="293"/>
      <c r="CZ35" s="293"/>
      <c r="DA35" s="292"/>
      <c r="DB35" s="293"/>
      <c r="DC35" s="443"/>
      <c r="DD35" s="258"/>
      <c r="DE35" s="953">
        <v>42</v>
      </c>
      <c r="DF35" s="953">
        <v>60</v>
      </c>
      <c r="DG35" s="204"/>
      <c r="DH35" s="946">
        <v>14</v>
      </c>
      <c r="DI35" s="946">
        <v>25</v>
      </c>
      <c r="DJ35" s="204"/>
      <c r="DK35" s="946">
        <v>54</v>
      </c>
      <c r="DL35" s="964">
        <v>86</v>
      </c>
      <c r="DN35" s="61"/>
      <c r="DO35" s="177"/>
      <c r="DP35" s="177"/>
      <c r="DQ35" s="152">
        <v>8</v>
      </c>
      <c r="DR35" s="272"/>
      <c r="DS35" s="955">
        <v>37</v>
      </c>
      <c r="DT35" s="955">
        <v>48</v>
      </c>
      <c r="DU35" s="274"/>
      <c r="DV35" s="948">
        <v>12</v>
      </c>
      <c r="DW35" s="949">
        <v>19</v>
      </c>
      <c r="DX35" s="153"/>
      <c r="DY35" s="955">
        <v>54</v>
      </c>
      <c r="DZ35" s="1000">
        <v>67</v>
      </c>
      <c r="EB35" s="120"/>
      <c r="EC35" s="68"/>
      <c r="ED35" s="459">
        <v>36</v>
      </c>
      <c r="EE35" s="1083"/>
      <c r="EF35" s="146"/>
      <c r="EG35" s="1058">
        <v>48</v>
      </c>
      <c r="EH35" s="1058">
        <v>75</v>
      </c>
      <c r="EI35" s="662"/>
      <c r="EJ35" s="1058">
        <v>16</v>
      </c>
      <c r="EK35" s="1058">
        <v>30</v>
      </c>
      <c r="EL35" s="148"/>
      <c r="EM35" s="1058">
        <v>68</v>
      </c>
      <c r="EN35" s="1069">
        <v>98</v>
      </c>
      <c r="FA35" s="1363" t="s">
        <v>1001</v>
      </c>
      <c r="FB35" s="1362" t="s">
        <v>1008</v>
      </c>
      <c r="FC35" s="1362" t="s">
        <v>1008</v>
      </c>
      <c r="FD35" s="1362"/>
      <c r="FE35" s="1362"/>
      <c r="FG35" s="676" t="s">
        <v>2007</v>
      </c>
      <c r="FH35" s="1999">
        <f t="shared" si="6"/>
        <v>0.56100000000000005</v>
      </c>
      <c r="FI35" s="2001">
        <v>561</v>
      </c>
      <c r="FJ35" s="69"/>
      <c r="FK35" s="1999">
        <f t="shared" si="8"/>
        <v>0.751</v>
      </c>
      <c r="FL35" s="2001">
        <v>751</v>
      </c>
      <c r="FM35" s="69"/>
      <c r="FN35" s="1999">
        <f t="shared" si="9"/>
        <v>0.83899999999999997</v>
      </c>
      <c r="FO35" s="2001">
        <v>839</v>
      </c>
    </row>
    <row r="36" spans="1:172" ht="12.75" customHeight="1" thickTop="1" x14ac:dyDescent="0.2">
      <c r="A36" s="1252" t="s">
        <v>123</v>
      </c>
      <c r="C36" s="604"/>
      <c r="D36" s="605"/>
      <c r="E36" s="621" t="s">
        <v>935</v>
      </c>
      <c r="F36" s="621" t="s">
        <v>936</v>
      </c>
      <c r="G36" s="760" t="s">
        <v>937</v>
      </c>
      <c r="I36" s="811"/>
      <c r="J36" s="613" t="str">
        <f>J9</f>
        <v>● génisses (13-24 mois; année 2)</v>
      </c>
      <c r="K36" s="1417">
        <v>18</v>
      </c>
      <c r="L36"/>
      <c r="M36"/>
      <c r="N36"/>
      <c r="O36"/>
      <c r="P36"/>
      <c r="Q36"/>
      <c r="R36"/>
      <c r="S36"/>
      <c r="AA36" t="s">
        <v>671</v>
      </c>
      <c r="AH36" s="605"/>
      <c r="AI36" s="605"/>
      <c r="AJ36" s="605"/>
      <c r="AK36" s="605"/>
      <c r="AL36" s="605"/>
      <c r="AQ36" s="1125" t="s">
        <v>31</v>
      </c>
      <c r="AR36" s="3470" t="s">
        <v>745</v>
      </c>
      <c r="AS36" s="3261"/>
      <c r="AT36" s="3262"/>
      <c r="AU36" s="3260" t="s">
        <v>746</v>
      </c>
      <c r="AV36" s="3261"/>
      <c r="AW36" s="3474"/>
      <c r="BB36" s="1686" t="s">
        <v>53</v>
      </c>
      <c r="BC36" s="1686"/>
      <c r="BD36" s="938">
        <v>670</v>
      </c>
      <c r="BE36" s="938">
        <v>18</v>
      </c>
      <c r="BF36" s="938">
        <v>8</v>
      </c>
      <c r="BG36" s="938">
        <v>30</v>
      </c>
      <c r="BU36" s="630" t="s">
        <v>1761</v>
      </c>
      <c r="BV36" s="1961">
        <f>10*16.3/6.25</f>
        <v>26.08</v>
      </c>
      <c r="BW36" s="1961">
        <f>10*0.51*2.29</f>
        <v>11.678999999999998</v>
      </c>
      <c r="BX36" s="1961">
        <f>10*0.73*1.2</f>
        <v>8.76</v>
      </c>
      <c r="BY36"/>
      <c r="CR36" s="125"/>
      <c r="CS36" s="51">
        <v>7</v>
      </c>
      <c r="CT36" s="68" t="s">
        <v>276</v>
      </c>
      <c r="CU36" s="289"/>
      <c r="CV36" s="325"/>
      <c r="CW36" s="325"/>
      <c r="CX36" s="292"/>
      <c r="CY36" s="293"/>
      <c r="CZ36" s="293"/>
      <c r="DA36" s="292"/>
      <c r="DB36" s="293"/>
      <c r="DC36" s="443"/>
      <c r="DD36" s="258"/>
      <c r="DE36" s="953">
        <v>48</v>
      </c>
      <c r="DF36" s="953">
        <v>64</v>
      </c>
      <c r="DG36" s="204"/>
      <c r="DH36" s="946">
        <v>14.5</v>
      </c>
      <c r="DI36" s="946">
        <v>25</v>
      </c>
      <c r="DJ36" s="204"/>
      <c r="DK36" s="946">
        <v>63</v>
      </c>
      <c r="DL36" s="964">
        <v>93</v>
      </c>
      <c r="DN36" s="61"/>
      <c r="DO36" s="51">
        <v>3</v>
      </c>
      <c r="DP36" s="276" t="s">
        <v>357</v>
      </c>
      <c r="DQ36" s="126" t="s">
        <v>258</v>
      </c>
      <c r="DR36" s="270"/>
      <c r="DS36" s="989">
        <v>0</v>
      </c>
      <c r="DT36" s="989">
        <v>19</v>
      </c>
      <c r="DU36" s="214"/>
      <c r="DV36" s="993">
        <v>0</v>
      </c>
      <c r="DW36" s="952">
        <v>12</v>
      </c>
      <c r="DX36" s="215"/>
      <c r="DY36" s="989">
        <v>0</v>
      </c>
      <c r="DZ36" s="999">
        <v>30</v>
      </c>
      <c r="EB36" s="80" t="s">
        <v>351</v>
      </c>
      <c r="EC36" s="81">
        <v>2</v>
      </c>
      <c r="ED36" s="1086"/>
      <c r="EE36" s="1076"/>
      <c r="EF36" s="150"/>
      <c r="EG36" s="940">
        <v>29</v>
      </c>
      <c r="EH36" s="940">
        <v>44</v>
      </c>
      <c r="EI36" s="274"/>
      <c r="EJ36" s="940">
        <v>9.5</v>
      </c>
      <c r="EK36" s="940">
        <v>14</v>
      </c>
      <c r="EL36" s="153"/>
      <c r="EM36" s="940">
        <v>48</v>
      </c>
      <c r="EN36" s="1070">
        <v>65</v>
      </c>
      <c r="FA36" s="1364" t="s">
        <v>999</v>
      </c>
      <c r="FG36" s="676" t="s">
        <v>2008</v>
      </c>
      <c r="FH36" s="1999">
        <f t="shared" si="6"/>
        <v>0.53300000000000003</v>
      </c>
      <c r="FI36" s="2001">
        <v>533</v>
      </c>
      <c r="FJ36" s="69"/>
      <c r="FK36" s="1999">
        <f t="shared" si="8"/>
        <v>0.629</v>
      </c>
      <c r="FL36" s="2001">
        <v>629</v>
      </c>
      <c r="FM36" s="69"/>
      <c r="FN36" s="1999">
        <f t="shared" si="9"/>
        <v>0.70799999999999996</v>
      </c>
      <c r="FO36" s="2001">
        <v>708</v>
      </c>
    </row>
    <row r="37" spans="1:172" ht="12.75" customHeight="1" x14ac:dyDescent="0.2">
      <c r="A37" s="1157" t="s">
        <v>671</v>
      </c>
      <c r="C37" s="758"/>
      <c r="D37" s="607"/>
      <c r="E37" s="935">
        <v>0.7</v>
      </c>
      <c r="F37" s="935">
        <v>0.75</v>
      </c>
      <c r="G37" s="937">
        <v>0.8</v>
      </c>
      <c r="I37" s="811"/>
      <c r="J37" s="613" t="str">
        <f>J10</f>
        <v>● génisses (25-36 mois; année 3)</v>
      </c>
      <c r="K37" s="1417">
        <v>25</v>
      </c>
      <c r="L37"/>
      <c r="M37"/>
      <c r="N37"/>
      <c r="O37"/>
      <c r="P37"/>
      <c r="Q37"/>
      <c r="R37"/>
      <c r="S37"/>
      <c r="AA37" t="s">
        <v>671</v>
      </c>
      <c r="AH37" s="2106" t="str">
        <f ca="1">CELL("adresse",Ferti_Prairies!AG68)</f>
        <v>'[Bilagreau7 exemple.xlsm]Ferti_Prairies'!$AG$68</v>
      </c>
      <c r="AI37" s="603"/>
      <c r="AJ37" s="701" t="s">
        <v>625</v>
      </c>
      <c r="AK37" s="701" t="s">
        <v>187</v>
      </c>
      <c r="AL37" s="616" t="s">
        <v>665</v>
      </c>
      <c r="AQ37" s="1125" t="s">
        <v>32</v>
      </c>
      <c r="AR37" s="1467" t="s">
        <v>750</v>
      </c>
      <c r="AS37" s="1465" t="s">
        <v>751</v>
      </c>
      <c r="AT37" s="1343" t="s">
        <v>774</v>
      </c>
      <c r="AU37" s="1115" t="s">
        <v>750</v>
      </c>
      <c r="AV37" s="1464" t="s">
        <v>751</v>
      </c>
      <c r="AW37" s="1344" t="s">
        <v>774</v>
      </c>
      <c r="BB37" s="1686" t="s">
        <v>513</v>
      </c>
      <c r="BC37" s="1686"/>
      <c r="BD37" s="938">
        <v>650</v>
      </c>
      <c r="BE37" s="938">
        <v>15</v>
      </c>
      <c r="BF37" s="938">
        <v>5.5</v>
      </c>
      <c r="BG37" s="938">
        <v>35</v>
      </c>
      <c r="BU37" s="630" t="s">
        <v>1760</v>
      </c>
      <c r="BV37" s="1961">
        <f>10*17.2/6.25</f>
        <v>27.52</v>
      </c>
      <c r="BW37" s="1961">
        <f>10*0.51*2.29</f>
        <v>11.678999999999998</v>
      </c>
      <c r="BX37" s="1961">
        <f>10*0.78*1.2</f>
        <v>9.3600000000000012</v>
      </c>
      <c r="BY37"/>
      <c r="CR37" s="125"/>
      <c r="CS37" s="130">
        <v>4</v>
      </c>
      <c r="CT37" s="133" t="s">
        <v>277</v>
      </c>
      <c r="CU37" s="327"/>
      <c r="CV37" s="444"/>
      <c r="CW37" s="444"/>
      <c r="CX37" s="445"/>
      <c r="CY37" s="329"/>
      <c r="CZ37" s="329"/>
      <c r="DA37" s="445"/>
      <c r="DB37" s="329"/>
      <c r="DC37" s="446"/>
      <c r="DD37" s="278"/>
      <c r="DE37" s="957">
        <v>26</v>
      </c>
      <c r="DF37" s="957">
        <v>51</v>
      </c>
      <c r="DG37" s="279"/>
      <c r="DH37" s="961">
        <v>8.5</v>
      </c>
      <c r="DI37" s="961">
        <v>24</v>
      </c>
      <c r="DJ37" s="279"/>
      <c r="DK37" s="961">
        <v>36</v>
      </c>
      <c r="DL37" s="965">
        <v>68</v>
      </c>
      <c r="DN37" s="61"/>
      <c r="DO37" s="51"/>
      <c r="DP37" s="51"/>
      <c r="DQ37" s="126" t="s">
        <v>358</v>
      </c>
      <c r="DR37" s="261"/>
      <c r="DS37" s="953">
        <v>38</v>
      </c>
      <c r="DT37" s="953">
        <v>38</v>
      </c>
      <c r="DU37" s="204"/>
      <c r="DV37" s="946">
        <v>12</v>
      </c>
      <c r="DW37" s="947">
        <v>12</v>
      </c>
      <c r="DX37" s="128"/>
      <c r="DY37" s="953">
        <v>56</v>
      </c>
      <c r="DZ37" s="997">
        <v>56</v>
      </c>
      <c r="EB37" s="61"/>
      <c r="EC37" s="51">
        <v>3</v>
      </c>
      <c r="ED37" s="366">
        <v>30</v>
      </c>
      <c r="EE37" s="109" t="s">
        <v>183</v>
      </c>
      <c r="EF37" s="125"/>
      <c r="EG37" s="938">
        <v>0</v>
      </c>
      <c r="EH37" s="938">
        <v>23</v>
      </c>
      <c r="EI37" s="204"/>
      <c r="EJ37" s="938">
        <v>0</v>
      </c>
      <c r="EK37" s="938">
        <v>6.5</v>
      </c>
      <c r="EL37" s="128"/>
      <c r="EM37" s="938">
        <v>0</v>
      </c>
      <c r="EN37" s="1066">
        <v>24</v>
      </c>
      <c r="FA37" s="1352" t="s">
        <v>1002</v>
      </c>
      <c r="FB37" s="1371">
        <v>14.3</v>
      </c>
      <c r="FC37" s="1372"/>
      <c r="FD37" s="1371">
        <v>11</v>
      </c>
      <c r="FE37" s="1371">
        <v>9.3000000000000007</v>
      </c>
      <c r="FG37" s="676" t="s">
        <v>2016</v>
      </c>
      <c r="FH37" s="1999">
        <f t="shared" si="6"/>
        <v>6.0999999999999999E-2</v>
      </c>
      <c r="FI37" s="2001">
        <v>61</v>
      </c>
      <c r="FJ37" s="69"/>
      <c r="FK37" s="1999">
        <f t="shared" si="8"/>
        <v>4.7E-2</v>
      </c>
      <c r="FL37" s="2001">
        <v>47</v>
      </c>
      <c r="FM37" s="69"/>
      <c r="FN37" s="1999">
        <f t="shared" si="9"/>
        <v>3.1E-2</v>
      </c>
      <c r="FO37" s="2001">
        <v>31</v>
      </c>
    </row>
    <row r="38" spans="1:172" ht="12.75" customHeight="1" thickBot="1" x14ac:dyDescent="0.25">
      <c r="A38" s="1158" t="s">
        <v>440</v>
      </c>
      <c r="I38" s="811" t="str">
        <f>I11</f>
        <v>Troupeau allaitant</v>
      </c>
      <c r="J38" s="613"/>
      <c r="K38" s="1418"/>
      <c r="L38"/>
      <c r="M38"/>
      <c r="N38"/>
      <c r="O38"/>
      <c r="P38"/>
      <c r="Q38"/>
      <c r="R38"/>
      <c r="S38"/>
      <c r="AC38" s="3455" t="str">
        <f ca="1">CELL("adresse",Plan_Epandage!AB25)</f>
        <v>'[Bilagreau7 exemple.xlsm]Plan_Epandage'!$AB$25</v>
      </c>
      <c r="AD38" s="3455"/>
      <c r="AE38" s="3455"/>
      <c r="AF38" s="2103"/>
      <c r="AH38" s="1238" t="s">
        <v>151</v>
      </c>
      <c r="AI38" s="605" t="s">
        <v>142</v>
      </c>
      <c r="AJ38" s="946">
        <v>5</v>
      </c>
      <c r="AK38" s="946">
        <v>2.5</v>
      </c>
      <c r="AL38" s="947">
        <v>8</v>
      </c>
      <c r="AQ38" s="1125" t="s">
        <v>33</v>
      </c>
      <c r="AR38" s="1117">
        <v>50</v>
      </c>
      <c r="AS38" s="974">
        <v>35</v>
      </c>
      <c r="AT38" s="974">
        <v>20</v>
      </c>
      <c r="AU38" s="1118">
        <v>35</v>
      </c>
      <c r="AV38" s="973">
        <v>25</v>
      </c>
      <c r="AW38" s="1345">
        <v>10</v>
      </c>
      <c r="BU38" s="630" t="s">
        <v>1936</v>
      </c>
      <c r="BV38" s="1961">
        <f>10*16.2/6.25</f>
        <v>25.92</v>
      </c>
      <c r="BW38" s="1961">
        <f>10*0.45*2.29</f>
        <v>10.305</v>
      </c>
      <c r="BX38" s="1961">
        <f>10*0.7*1.2</f>
        <v>8.4</v>
      </c>
      <c r="BY38"/>
      <c r="CR38" s="125"/>
      <c r="CS38" s="51">
        <v>5</v>
      </c>
      <c r="CT38" s="68" t="s">
        <v>277</v>
      </c>
      <c r="CU38" s="289"/>
      <c r="CV38" s="325"/>
      <c r="CW38" s="325"/>
      <c r="CX38" s="292"/>
      <c r="CY38" s="293"/>
      <c r="CZ38" s="293"/>
      <c r="DA38" s="292"/>
      <c r="DB38" s="293"/>
      <c r="DC38" s="443"/>
      <c r="DD38" s="258"/>
      <c r="DE38" s="953">
        <v>35</v>
      </c>
      <c r="DF38" s="953">
        <v>54</v>
      </c>
      <c r="DG38" s="204"/>
      <c r="DH38" s="946">
        <v>11.5</v>
      </c>
      <c r="DI38" s="946">
        <v>24</v>
      </c>
      <c r="DJ38" s="204"/>
      <c r="DK38" s="946">
        <v>45</v>
      </c>
      <c r="DL38" s="964">
        <v>73</v>
      </c>
      <c r="DN38" s="61"/>
      <c r="DO38" s="51"/>
      <c r="DP38" s="130">
        <v>36</v>
      </c>
      <c r="DQ38" s="134">
        <v>5</v>
      </c>
      <c r="DR38" s="277"/>
      <c r="DS38" s="957">
        <v>31</v>
      </c>
      <c r="DT38" s="957">
        <v>53</v>
      </c>
      <c r="DU38" s="279"/>
      <c r="DV38" s="961">
        <v>10</v>
      </c>
      <c r="DW38" s="994">
        <v>25</v>
      </c>
      <c r="DX38" s="136"/>
      <c r="DY38" s="957">
        <v>46</v>
      </c>
      <c r="DZ38" s="1001">
        <v>77</v>
      </c>
      <c r="EB38" s="61"/>
      <c r="EC38" s="51"/>
      <c r="ED38" s="366"/>
      <c r="EE38" s="109" t="s">
        <v>163</v>
      </c>
      <c r="EF38" s="125"/>
      <c r="EG38" s="68"/>
      <c r="EH38" s="938">
        <v>46</v>
      </c>
      <c r="EI38" s="204"/>
      <c r="EJ38" s="68"/>
      <c r="EK38" s="938">
        <v>15</v>
      </c>
      <c r="EL38" s="128"/>
      <c r="EM38" s="68"/>
      <c r="EN38" s="1066">
        <v>50</v>
      </c>
      <c r="FA38" s="1352" t="s">
        <v>1003</v>
      </c>
      <c r="FB38" s="1371">
        <v>0.39</v>
      </c>
      <c r="FC38" s="1372"/>
      <c r="FD38" s="1371">
        <v>0.23</v>
      </c>
      <c r="FE38" s="1371">
        <v>0.31</v>
      </c>
      <c r="FG38" s="676" t="s">
        <v>2015</v>
      </c>
      <c r="FH38" s="1999">
        <f t="shared" si="6"/>
        <v>0.12</v>
      </c>
      <c r="FI38" s="2001">
        <v>120</v>
      </c>
      <c r="FJ38" s="69"/>
      <c r="FK38" s="1999">
        <f t="shared" si="8"/>
        <v>0.11799999999999999</v>
      </c>
      <c r="FL38" s="2001">
        <v>118</v>
      </c>
      <c r="FM38" s="69"/>
      <c r="FN38" s="1999">
        <f t="shared" si="9"/>
        <v>0.13500000000000001</v>
      </c>
      <c r="FO38" s="2001">
        <v>135</v>
      </c>
      <c r="FP38" s="69"/>
    </row>
    <row r="39" spans="1:172" ht="12.75" customHeight="1" thickTop="1" thickBot="1" x14ac:dyDescent="0.25">
      <c r="A39" s="1157" t="s">
        <v>671</v>
      </c>
      <c r="I39" s="811"/>
      <c r="J39" s="613" t="str">
        <f>J12</f>
        <v>● vaches allaitantes</v>
      </c>
      <c r="K39" s="1417">
        <v>39</v>
      </c>
      <c r="L39"/>
      <c r="M39"/>
      <c r="N39"/>
      <c r="O39"/>
      <c r="P39"/>
      <c r="Q39"/>
      <c r="R39"/>
      <c r="S39"/>
      <c r="AD39" s="1442" t="s">
        <v>1551</v>
      </c>
      <c r="AE39" s="953">
        <v>80</v>
      </c>
      <c r="AH39" s="1238"/>
      <c r="AI39" s="605" t="s">
        <v>143</v>
      </c>
      <c r="AJ39" s="946">
        <v>9</v>
      </c>
      <c r="AK39" s="946">
        <v>8</v>
      </c>
      <c r="AL39" s="947">
        <v>14</v>
      </c>
      <c r="AZ39" s="850" t="s">
        <v>508</v>
      </c>
      <c r="BA39" s="850"/>
      <c r="BB39" s="850"/>
      <c r="BU39" s="630" t="s">
        <v>1292</v>
      </c>
      <c r="BV39" s="1961">
        <f>10*16.6/6.25</f>
        <v>26.56</v>
      </c>
      <c r="BW39" s="1961">
        <f>10*0.48*2.29</f>
        <v>10.991999999999999</v>
      </c>
      <c r="BX39" s="1961">
        <f>10*0.69*1.2</f>
        <v>8.2799999999999994</v>
      </c>
      <c r="BY39"/>
      <c r="CR39" s="125"/>
      <c r="CS39" s="51">
        <v>6</v>
      </c>
      <c r="CT39" s="68" t="s">
        <v>277</v>
      </c>
      <c r="CU39" s="289"/>
      <c r="CV39" s="325"/>
      <c r="CW39" s="325"/>
      <c r="CX39" s="292"/>
      <c r="CY39" s="293"/>
      <c r="CZ39" s="293"/>
      <c r="DA39" s="292"/>
      <c r="DB39" s="293"/>
      <c r="DC39" s="443"/>
      <c r="DD39" s="258"/>
      <c r="DE39" s="953">
        <v>42</v>
      </c>
      <c r="DF39" s="953">
        <v>57</v>
      </c>
      <c r="DG39" s="204"/>
      <c r="DH39" s="946">
        <v>14</v>
      </c>
      <c r="DI39" s="946">
        <v>25</v>
      </c>
      <c r="DJ39" s="204"/>
      <c r="DK39" s="946">
        <v>54</v>
      </c>
      <c r="DL39" s="964">
        <v>78</v>
      </c>
      <c r="DN39" s="61"/>
      <c r="DO39" s="51"/>
      <c r="DP39" s="51"/>
      <c r="DQ39" s="126">
        <v>6</v>
      </c>
      <c r="DR39" s="261"/>
      <c r="DS39" s="953">
        <v>37</v>
      </c>
      <c r="DT39" s="953">
        <v>56</v>
      </c>
      <c r="DU39" s="204"/>
      <c r="DV39" s="946">
        <v>12</v>
      </c>
      <c r="DW39" s="947">
        <v>25</v>
      </c>
      <c r="DX39" s="128"/>
      <c r="DY39" s="953">
        <v>55</v>
      </c>
      <c r="DZ39" s="997">
        <v>82</v>
      </c>
      <c r="EB39" s="61"/>
      <c r="EC39" s="51"/>
      <c r="ED39" s="459">
        <v>33</v>
      </c>
      <c r="EE39" s="1083"/>
      <c r="EF39" s="132"/>
      <c r="EG39" s="971">
        <v>38</v>
      </c>
      <c r="EH39" s="971">
        <v>51</v>
      </c>
      <c r="EI39" s="279"/>
      <c r="EJ39" s="971">
        <v>12</v>
      </c>
      <c r="EK39" s="971">
        <v>15</v>
      </c>
      <c r="EL39" s="136"/>
      <c r="EM39" s="971">
        <v>45</v>
      </c>
      <c r="EN39" s="1067">
        <v>62</v>
      </c>
      <c r="FA39" s="1352" t="s">
        <v>1004</v>
      </c>
      <c r="FB39" s="1371">
        <v>2.6</v>
      </c>
      <c r="FC39" s="1372"/>
      <c r="FD39" s="1371">
        <v>1.45</v>
      </c>
      <c r="FE39" s="1371">
        <v>1.59</v>
      </c>
      <c r="FG39" s="676" t="s">
        <v>2013</v>
      </c>
      <c r="FH39" s="1999">
        <f t="shared" si="6"/>
        <v>0.13200000000000001</v>
      </c>
      <c r="FI39" s="2001">
        <v>132</v>
      </c>
      <c r="FJ39" s="69"/>
      <c r="FK39" s="1999">
        <f t="shared" si="8"/>
        <v>8.4000000000000005E-2</v>
      </c>
      <c r="FL39" s="2001">
        <v>84</v>
      </c>
      <c r="FM39" s="69"/>
      <c r="FN39" s="1999">
        <f t="shared" si="9"/>
        <v>0.10299999999999999</v>
      </c>
      <c r="FO39" s="2001">
        <v>103</v>
      </c>
      <c r="FP39" s="69"/>
    </row>
    <row r="40" spans="1:172" ht="12.75" customHeight="1" thickTop="1" thickBot="1" x14ac:dyDescent="0.25">
      <c r="A40" s="1158" t="s">
        <v>318</v>
      </c>
      <c r="C40" s="1126"/>
      <c r="D40" s="603"/>
      <c r="E40" s="603" t="s">
        <v>572</v>
      </c>
      <c r="F40" s="603" t="s">
        <v>573</v>
      </c>
      <c r="G40" s="757" t="s">
        <v>574</v>
      </c>
      <c r="I40" s="811"/>
      <c r="J40" s="613" t="str">
        <f>J13</f>
        <v>● toutes génisses d'élevage (année 1)</v>
      </c>
      <c r="K40" s="1417">
        <v>7</v>
      </c>
      <c r="L40"/>
      <c r="M40"/>
      <c r="N40"/>
      <c r="O40"/>
      <c r="P40"/>
      <c r="Q40"/>
      <c r="R40"/>
      <c r="S40"/>
      <c r="AD40" s="1442" t="s">
        <v>1552</v>
      </c>
      <c r="AE40" s="953">
        <v>75</v>
      </c>
      <c r="AH40" s="1238"/>
      <c r="AI40" s="605" t="s">
        <v>144</v>
      </c>
      <c r="AJ40" s="946">
        <v>7</v>
      </c>
      <c r="AK40" s="946">
        <v>9</v>
      </c>
      <c r="AL40" s="947">
        <v>13</v>
      </c>
      <c r="AQ40" s="1125" t="s">
        <v>30</v>
      </c>
      <c r="AR40" s="3467" t="s">
        <v>743</v>
      </c>
      <c r="AS40" s="3468"/>
      <c r="AT40" s="3468"/>
      <c r="AU40" s="3468"/>
      <c r="AV40" s="3468"/>
      <c r="AW40" s="3469"/>
      <c r="AZ40" s="1281"/>
      <c r="BA40" s="1281" t="s">
        <v>507</v>
      </c>
      <c r="BB40" s="1281"/>
      <c r="BU40" s="630" t="s">
        <v>529</v>
      </c>
      <c r="BV40" s="1961">
        <f>10*16.5/6.25</f>
        <v>26.4</v>
      </c>
      <c r="BW40" s="1961">
        <f>10*0.45*2.29</f>
        <v>10.305</v>
      </c>
      <c r="BX40" s="1961">
        <f>10*0.7*1.2</f>
        <v>8.4</v>
      </c>
      <c r="BY40"/>
      <c r="CR40" s="447"/>
      <c r="CS40" s="177">
        <v>7</v>
      </c>
      <c r="CT40" s="151" t="s">
        <v>277</v>
      </c>
      <c r="CU40" s="448"/>
      <c r="CV40" s="449"/>
      <c r="CW40" s="449"/>
      <c r="CX40" s="451"/>
      <c r="CY40" s="452"/>
      <c r="CZ40" s="452"/>
      <c r="DA40" s="451"/>
      <c r="DB40" s="452"/>
      <c r="DC40" s="453"/>
      <c r="DD40" s="273"/>
      <c r="DE40" s="955">
        <v>48</v>
      </c>
      <c r="DF40" s="955">
        <v>61</v>
      </c>
      <c r="DG40" s="274"/>
      <c r="DH40" s="948">
        <v>14.5</v>
      </c>
      <c r="DI40" s="948">
        <v>25</v>
      </c>
      <c r="DJ40" s="274"/>
      <c r="DK40" s="948">
        <v>63</v>
      </c>
      <c r="DL40" s="979">
        <v>84</v>
      </c>
      <c r="DN40" s="61"/>
      <c r="DO40" s="51"/>
      <c r="DP40" s="51"/>
      <c r="DQ40" s="126">
        <v>7</v>
      </c>
      <c r="DR40" s="261"/>
      <c r="DS40" s="953">
        <v>45</v>
      </c>
      <c r="DT40" s="953">
        <v>59</v>
      </c>
      <c r="DU40" s="204"/>
      <c r="DV40" s="946">
        <v>14</v>
      </c>
      <c r="DW40" s="947">
        <v>25</v>
      </c>
      <c r="DX40" s="128"/>
      <c r="DY40" s="953">
        <v>64</v>
      </c>
      <c r="DZ40" s="997">
        <v>86</v>
      </c>
      <c r="EB40" s="61"/>
      <c r="EC40" s="51"/>
      <c r="ED40" s="459">
        <v>36</v>
      </c>
      <c r="EE40" s="1083"/>
      <c r="EF40" s="132"/>
      <c r="EG40" s="971">
        <v>42</v>
      </c>
      <c r="EH40" s="971">
        <v>65</v>
      </c>
      <c r="EI40" s="279"/>
      <c r="EJ40" s="971">
        <v>14</v>
      </c>
      <c r="EK40" s="971">
        <v>26</v>
      </c>
      <c r="EL40" s="136"/>
      <c r="EM40" s="971">
        <v>65</v>
      </c>
      <c r="EN40" s="1069">
        <v>96</v>
      </c>
      <c r="FA40" s="1352" t="s">
        <v>1005</v>
      </c>
      <c r="FB40" s="1371">
        <v>3.47</v>
      </c>
      <c r="FC40" s="1372"/>
      <c r="FD40" s="1371">
        <v>1.65</v>
      </c>
      <c r="FE40" s="1371">
        <v>2.4900000000000002</v>
      </c>
      <c r="FG40" s="676" t="s">
        <v>2014</v>
      </c>
      <c r="FH40" s="1999">
        <f t="shared" si="6"/>
        <v>9.4E-2</v>
      </c>
      <c r="FI40" s="2001">
        <v>94</v>
      </c>
      <c r="FJ40" s="69"/>
      <c r="FK40" s="1999">
        <f t="shared" si="8"/>
        <v>6.9000000000000006E-2</v>
      </c>
      <c r="FL40" s="2001">
        <v>69</v>
      </c>
      <c r="FM40" s="69"/>
      <c r="FN40" s="1999">
        <f t="shared" si="9"/>
        <v>8.3000000000000004E-2</v>
      </c>
      <c r="FO40" s="2001">
        <v>83</v>
      </c>
      <c r="FP40" s="69"/>
    </row>
    <row r="41" spans="1:172" ht="12.75" customHeight="1" thickTop="1" thickBot="1" x14ac:dyDescent="0.25">
      <c r="A41" s="1157" t="s">
        <v>671</v>
      </c>
      <c r="C41" s="1042" t="str">
        <f ca="1">CELL("adresse",Saisies_Exploitation!AL72)</f>
        <v>'[Bilagreau7 exemple.xlsm]Saisies_Exploitation'!$AL$72</v>
      </c>
      <c r="D41" s="821" t="s">
        <v>965</v>
      </c>
      <c r="E41" s="934">
        <v>0.4</v>
      </c>
      <c r="F41" s="934">
        <v>0.45</v>
      </c>
      <c r="G41" s="936">
        <v>0.45</v>
      </c>
      <c r="I41" s="811"/>
      <c r="J41" s="613" t="str">
        <f>J14</f>
        <v>● génisses de renouvellement (année 2)</v>
      </c>
      <c r="K41" s="1417">
        <v>18</v>
      </c>
      <c r="L41"/>
      <c r="M41"/>
      <c r="N41"/>
      <c r="O41"/>
      <c r="P41"/>
      <c r="Q41"/>
      <c r="R41"/>
      <c r="S41"/>
      <c r="AE41" t="s">
        <v>671</v>
      </c>
      <c r="AH41" s="604"/>
      <c r="AI41" s="605" t="s">
        <v>145</v>
      </c>
      <c r="AJ41" s="946">
        <v>8</v>
      </c>
      <c r="AK41" s="946">
        <v>5</v>
      </c>
      <c r="AL41" s="947">
        <v>14</v>
      </c>
      <c r="AQ41" s="1125" t="s">
        <v>31</v>
      </c>
      <c r="AR41" s="3470" t="s">
        <v>747</v>
      </c>
      <c r="AS41" s="3261"/>
      <c r="AT41" s="3262"/>
      <c r="AU41" s="3260" t="s">
        <v>748</v>
      </c>
      <c r="AV41" s="3261"/>
      <c r="AW41" s="3474"/>
      <c r="AZ41" s="1281"/>
      <c r="BA41" s="1281"/>
      <c r="BB41" s="1523" t="s">
        <v>1160</v>
      </c>
      <c r="BD41" s="1107">
        <v>850</v>
      </c>
      <c r="BE41" s="1107">
        <v>11.5</v>
      </c>
      <c r="BF41" s="1107">
        <v>4.2</v>
      </c>
      <c r="BG41" s="1107">
        <v>12</v>
      </c>
      <c r="BU41" s="630" t="s">
        <v>1289</v>
      </c>
      <c r="BV41" s="1961">
        <f>10*16.1/6.25</f>
        <v>25.76</v>
      </c>
      <c r="BW41" s="1961">
        <f>10*0.43*2.29</f>
        <v>9.8469999999999995</v>
      </c>
      <c r="BX41" s="1961">
        <f>10*0.7*1.2</f>
        <v>8.4</v>
      </c>
      <c r="BY41"/>
      <c r="CR41" s="454"/>
      <c r="CS41" s="36"/>
      <c r="CT41" s="227"/>
      <c r="CU41" s="61"/>
      <c r="CV41" s="46"/>
      <c r="CW41" s="46"/>
      <c r="CX41" s="46"/>
      <c r="CY41" s="46"/>
      <c r="CZ41" s="46"/>
      <c r="DA41" s="233"/>
      <c r="DB41" s="46"/>
      <c r="DC41" s="356"/>
      <c r="DD41" s="46"/>
      <c r="DE41" s="46"/>
      <c r="DF41" s="46"/>
      <c r="DG41" s="46"/>
      <c r="DH41" s="46"/>
      <c r="DI41" s="46"/>
      <c r="DJ41" s="233"/>
      <c r="DK41" s="46"/>
      <c r="DL41" s="356"/>
      <c r="DN41" s="72"/>
      <c r="DO41" s="76"/>
      <c r="DP41" s="76"/>
      <c r="DQ41" s="281">
        <v>8</v>
      </c>
      <c r="DR41" s="263"/>
      <c r="DS41" s="958">
        <v>50</v>
      </c>
      <c r="DT41" s="958">
        <v>63</v>
      </c>
      <c r="DU41" s="206"/>
      <c r="DV41" s="962">
        <v>16</v>
      </c>
      <c r="DW41" s="995">
        <v>25</v>
      </c>
      <c r="DX41" s="207"/>
      <c r="DY41" s="958">
        <v>73</v>
      </c>
      <c r="DZ41" s="1002">
        <v>91</v>
      </c>
      <c r="EB41" s="80"/>
      <c r="EC41" s="440"/>
      <c r="ED41" s="517"/>
      <c r="EE41" s="1080"/>
      <c r="EF41" s="1075"/>
      <c r="EG41" s="1074"/>
      <c r="EH41" s="1074"/>
      <c r="EI41" s="1073"/>
      <c r="EJ41" s="1074"/>
      <c r="EK41" s="1074"/>
      <c r="EL41" s="1074"/>
      <c r="EM41" s="1074"/>
      <c r="EN41" s="1076"/>
      <c r="FA41" s="1365" t="s">
        <v>2002</v>
      </c>
      <c r="FB41" s="1379">
        <v>0.03</v>
      </c>
      <c r="FC41" s="1372"/>
      <c r="FD41" s="1380">
        <v>1.7000000000000001E-2</v>
      </c>
      <c r="FE41" s="1380">
        <v>1.7999999999999999E-2</v>
      </c>
      <c r="FG41" s="1579" t="s">
        <v>2009</v>
      </c>
      <c r="FH41" s="1999">
        <f t="shared" si="6"/>
        <v>5.2999999999999999E-2</v>
      </c>
      <c r="FI41" s="2001">
        <v>53</v>
      </c>
      <c r="FJ41" s="69"/>
      <c r="FK41" s="1999">
        <f t="shared" si="8"/>
        <v>4.4999999999999998E-2</v>
      </c>
      <c r="FL41" s="2001">
        <v>45</v>
      </c>
      <c r="FM41" s="69"/>
      <c r="FN41" s="1999">
        <f t="shared" si="9"/>
        <v>5.5E-2</v>
      </c>
      <c r="FO41" s="2001">
        <v>55</v>
      </c>
      <c r="FP41" s="69"/>
    </row>
    <row r="42" spans="1:172" ht="12.75" customHeight="1" thickTop="1" thickBot="1" x14ac:dyDescent="0.25">
      <c r="A42" s="1158" t="s">
        <v>441</v>
      </c>
      <c r="C42" s="1042" t="str">
        <f ca="1">CELL("adresse",Saisies_Exploitation!AL79)</f>
        <v>'[Bilagreau7 exemple.xlsm]Saisies_Exploitation'!$AL$79</v>
      </c>
      <c r="D42" s="821" t="s">
        <v>966</v>
      </c>
      <c r="E42" s="934">
        <v>0.6</v>
      </c>
      <c r="F42" s="934">
        <v>0.6</v>
      </c>
      <c r="G42" s="936">
        <v>0.65</v>
      </c>
      <c r="I42" s="811"/>
      <c r="J42" s="613" t="str">
        <f>J15</f>
        <v>● génisses de renouvellement (année 3)</v>
      </c>
      <c r="K42" s="1417">
        <v>25</v>
      </c>
      <c r="L42"/>
      <c r="M42"/>
      <c r="N42"/>
      <c r="O42"/>
      <c r="P42"/>
      <c r="Q42"/>
      <c r="R42"/>
      <c r="S42"/>
      <c r="AE42" t="s">
        <v>671</v>
      </c>
      <c r="AH42" s="604"/>
      <c r="AI42" s="605" t="s">
        <v>146</v>
      </c>
      <c r="AJ42" s="946">
        <v>13</v>
      </c>
      <c r="AK42" s="946">
        <v>18</v>
      </c>
      <c r="AL42" s="947">
        <v>25</v>
      </c>
      <c r="AQ42" s="1125" t="s">
        <v>32</v>
      </c>
      <c r="AR42" s="1467" t="s">
        <v>750</v>
      </c>
      <c r="AS42" s="1465" t="s">
        <v>751</v>
      </c>
      <c r="AT42" s="1343" t="s">
        <v>774</v>
      </c>
      <c r="AU42" s="1115" t="s">
        <v>750</v>
      </c>
      <c r="AV42" s="1464" t="s">
        <v>751</v>
      </c>
      <c r="AW42" s="1344" t="s">
        <v>774</v>
      </c>
      <c r="AZ42" s="1281"/>
      <c r="BA42" s="1281"/>
      <c r="BB42" s="1281" t="s">
        <v>228</v>
      </c>
      <c r="BD42" s="1107">
        <v>1150</v>
      </c>
      <c r="BE42" s="1107">
        <v>16</v>
      </c>
      <c r="BF42" s="1107">
        <v>3.4</v>
      </c>
      <c r="BG42" s="1107">
        <v>14</v>
      </c>
      <c r="BU42" s="630" t="s">
        <v>1290</v>
      </c>
      <c r="BV42" s="1961">
        <f>10*16.3/6.25</f>
        <v>26.08</v>
      </c>
      <c r="BW42" s="1961">
        <f>10*0.48*2.29</f>
        <v>10.991999999999999</v>
      </c>
      <c r="BX42" s="1961">
        <f>10*0.7*1.2</f>
        <v>8.4</v>
      </c>
      <c r="BY42"/>
      <c r="CR42" s="454" t="s">
        <v>264</v>
      </c>
      <c r="CS42" s="492" t="s">
        <v>280</v>
      </c>
      <c r="CT42" s="493" t="s">
        <v>282</v>
      </c>
      <c r="CU42" s="898"/>
      <c r="CV42" s="967">
        <v>0</v>
      </c>
      <c r="CW42" s="968">
        <v>3.8</v>
      </c>
      <c r="CX42" s="900"/>
      <c r="CY42" s="975">
        <v>0</v>
      </c>
      <c r="CZ42" s="975">
        <v>2</v>
      </c>
      <c r="DA42" s="900"/>
      <c r="DB42" s="975">
        <v>0</v>
      </c>
      <c r="DC42" s="977">
        <v>5</v>
      </c>
      <c r="DD42" s="455"/>
      <c r="DE42" s="455"/>
      <c r="DF42" s="455"/>
      <c r="DG42" s="455"/>
      <c r="DH42" s="455"/>
      <c r="DI42" s="455"/>
      <c r="DJ42" s="633"/>
      <c r="DK42" s="455"/>
      <c r="DL42" s="456"/>
      <c r="EB42" s="72"/>
      <c r="EC42" s="574"/>
      <c r="ED42" s="1081"/>
      <c r="EE42" s="1082"/>
      <c r="EF42" s="526"/>
      <c r="EG42" s="463"/>
      <c r="EH42" s="463"/>
      <c r="EI42" s="683"/>
      <c r="EJ42" s="463"/>
      <c r="EK42" s="463"/>
      <c r="EL42" s="463"/>
      <c r="EM42" s="463"/>
      <c r="EN42" s="685"/>
      <c r="FB42" s="1372"/>
      <c r="FC42" s="1372"/>
      <c r="FD42" s="1372"/>
      <c r="FE42" s="1372"/>
      <c r="FG42" s="676" t="s">
        <v>2010</v>
      </c>
      <c r="FH42" s="1999">
        <f t="shared" si="6"/>
        <v>4.7E-2</v>
      </c>
      <c r="FI42" s="2001">
        <v>47</v>
      </c>
      <c r="FJ42" s="69"/>
      <c r="FK42" s="1999">
        <f t="shared" si="8"/>
        <v>5.0999999999999997E-2</v>
      </c>
      <c r="FL42" s="2001">
        <v>51</v>
      </c>
      <c r="FM42" s="69"/>
      <c r="FN42" s="1999">
        <f t="shared" si="9"/>
        <v>5.6000000000000001E-2</v>
      </c>
      <c r="FO42" s="2001">
        <v>56</v>
      </c>
      <c r="FP42" s="69"/>
    </row>
    <row r="43" spans="1:172" ht="12.75" customHeight="1" thickTop="1" thickBot="1" x14ac:dyDescent="0.25">
      <c r="A43" s="1157" t="s">
        <v>671</v>
      </c>
      <c r="C43" s="1127"/>
      <c r="D43" s="605"/>
      <c r="E43" s="605"/>
      <c r="F43" s="605"/>
      <c r="G43" s="606"/>
      <c r="I43" s="811" t="str">
        <f>I16</f>
        <v>Animaux en engraissement</v>
      </c>
      <c r="J43" s="613"/>
      <c r="K43" s="1418"/>
      <c r="L43"/>
      <c r="M43"/>
      <c r="N43"/>
      <c r="O43"/>
      <c r="P43"/>
      <c r="Q43"/>
      <c r="R43"/>
      <c r="S43"/>
      <c r="AH43" s="604"/>
      <c r="AI43" s="605" t="s">
        <v>147</v>
      </c>
      <c r="AJ43" s="946">
        <v>8</v>
      </c>
      <c r="AK43" s="946">
        <v>12</v>
      </c>
      <c r="AL43" s="947">
        <v>18</v>
      </c>
      <c r="AQ43" s="1125" t="s">
        <v>33</v>
      </c>
      <c r="AR43" s="1117">
        <v>30</v>
      </c>
      <c r="AS43" s="974">
        <v>20</v>
      </c>
      <c r="AT43" s="974">
        <v>10</v>
      </c>
      <c r="AU43" s="1118">
        <v>20</v>
      </c>
      <c r="AV43" s="973">
        <v>15</v>
      </c>
      <c r="AW43" s="1345">
        <v>10</v>
      </c>
      <c r="AZ43" s="1281"/>
      <c r="BA43" s="1281"/>
      <c r="BB43" s="1281" t="s">
        <v>226</v>
      </c>
      <c r="BD43" s="1107">
        <v>850</v>
      </c>
      <c r="BE43" s="1107">
        <v>26</v>
      </c>
      <c r="BF43" s="1107">
        <v>8.1999999999999993</v>
      </c>
      <c r="BG43" s="1107">
        <v>18</v>
      </c>
      <c r="BU43" s="630" t="s">
        <v>522</v>
      </c>
      <c r="BV43" s="1961">
        <f>10*16.5/6.25</f>
        <v>26.4</v>
      </c>
      <c r="BW43" s="1961">
        <f>10*0.68*2.29</f>
        <v>15.572000000000003</v>
      </c>
      <c r="BX43" s="1961">
        <f>10*0.74*1.2</f>
        <v>8.8800000000000008</v>
      </c>
      <c r="BY43"/>
      <c r="CR43" s="125">
        <v>3</v>
      </c>
      <c r="CS43" s="500" t="s">
        <v>281</v>
      </c>
      <c r="CT43" s="186" t="s">
        <v>283</v>
      </c>
      <c r="CU43" s="903"/>
      <c r="CV43" s="969">
        <v>6</v>
      </c>
      <c r="CW43" s="970">
        <v>6</v>
      </c>
      <c r="CX43" s="905"/>
      <c r="CY43" s="976">
        <v>2</v>
      </c>
      <c r="CZ43" s="976">
        <v>2</v>
      </c>
      <c r="DA43" s="905"/>
      <c r="DB43" s="976">
        <v>8.5</v>
      </c>
      <c r="DC43" s="978">
        <v>8.5</v>
      </c>
      <c r="DD43" s="457"/>
      <c r="DE43" s="457"/>
      <c r="DF43" s="457"/>
      <c r="DG43" s="457"/>
      <c r="DH43" s="457"/>
      <c r="DI43" s="457"/>
      <c r="DJ43" s="634"/>
      <c r="DK43" s="457"/>
      <c r="DL43" s="458" t="s">
        <v>671</v>
      </c>
      <c r="DN43" s="3487" t="str">
        <f ca="1">CELL("adresse",Allaitant!W25)</f>
        <v>'[Bilagreau7 exemple.xlsm]Allaitant'!$W$25</v>
      </c>
      <c r="DO43" s="3487"/>
      <c r="DP43" s="3487"/>
      <c r="DQ43" s="3487"/>
      <c r="DR43" s="3487"/>
      <c r="DS43" s="3487"/>
      <c r="DT43" s="3487"/>
      <c r="DU43" s="3487"/>
      <c r="DV43" s="3487"/>
      <c r="DW43" s="3487"/>
      <c r="DX43" s="3487"/>
      <c r="DY43" s="3487"/>
      <c r="DZ43" s="3487"/>
      <c r="EB43" s="89" t="s">
        <v>501</v>
      </c>
      <c r="EC43" s="90" t="s">
        <v>383</v>
      </c>
      <c r="ED43" s="90"/>
      <c r="EE43" s="155" t="s">
        <v>183</v>
      </c>
      <c r="EF43" s="673"/>
      <c r="EG43" s="1060">
        <v>0</v>
      </c>
      <c r="EH43" s="1060">
        <v>32</v>
      </c>
      <c r="EI43" s="218"/>
      <c r="EJ43" s="1060">
        <v>0</v>
      </c>
      <c r="EK43" s="1060">
        <v>17</v>
      </c>
      <c r="EL43" s="156"/>
      <c r="EM43" s="1060">
        <v>0</v>
      </c>
      <c r="EN43" s="1063">
        <v>35</v>
      </c>
      <c r="FA43" s="1364" t="s">
        <v>1985</v>
      </c>
      <c r="FG43" s="676" t="s">
        <v>2012</v>
      </c>
      <c r="FH43" s="1999">
        <f t="shared" si="6"/>
        <v>0.108</v>
      </c>
      <c r="FI43" s="2001">
        <v>108</v>
      </c>
      <c r="FJ43" s="69"/>
      <c r="FK43" s="1999">
        <f t="shared" si="8"/>
        <v>8.3000000000000004E-2</v>
      </c>
      <c r="FL43" s="2001">
        <v>83</v>
      </c>
      <c r="FM43" s="69"/>
      <c r="FN43" s="1999">
        <f t="shared" si="9"/>
        <v>9.2999999999999999E-2</v>
      </c>
      <c r="FO43" s="2001">
        <v>93</v>
      </c>
      <c r="FP43" s="235"/>
    </row>
    <row r="44" spans="1:172" ht="12.75" customHeight="1" thickTop="1" thickBot="1" x14ac:dyDescent="0.25">
      <c r="A44" s="1158" t="s">
        <v>442</v>
      </c>
      <c r="C44" s="1042" t="str">
        <f ca="1">CELL("adresse",Saisies_Exploitation!AL84)</f>
        <v>'[Bilagreau7 exemple.xlsm]Saisies_Exploitation'!$AL$84</v>
      </c>
      <c r="D44" s="821" t="s">
        <v>967</v>
      </c>
      <c r="E44" s="2003">
        <f>E47/3</f>
        <v>0.25</v>
      </c>
      <c r="F44" s="2003">
        <f>F47/3</f>
        <v>0.26666666666666666</v>
      </c>
      <c r="G44" s="2003">
        <f>G47/3</f>
        <v>0.28333333333333333</v>
      </c>
      <c r="I44" s="811" t="str">
        <f>I17</f>
        <v>● Mâles à l'engraissement</v>
      </c>
      <c r="J44" s="613"/>
      <c r="K44" s="1418"/>
      <c r="L44"/>
      <c r="M44"/>
      <c r="N44"/>
      <c r="O44"/>
      <c r="P44"/>
      <c r="Q44"/>
      <c r="R44"/>
      <c r="S44"/>
      <c r="AH44" s="604"/>
      <c r="AI44" s="605" t="s">
        <v>148</v>
      </c>
      <c r="AJ44" s="946">
        <v>4.5</v>
      </c>
      <c r="AK44" s="946">
        <v>2</v>
      </c>
      <c r="AL44" s="947">
        <v>5.5</v>
      </c>
      <c r="AZ44" s="1281"/>
      <c r="BA44" s="1281"/>
      <c r="BB44" s="1281" t="s">
        <v>227</v>
      </c>
      <c r="BD44" s="1107">
        <v>1030</v>
      </c>
      <c r="BE44" s="1107">
        <v>27</v>
      </c>
      <c r="BF44" s="1107">
        <v>8</v>
      </c>
      <c r="BG44" s="1107">
        <v>30</v>
      </c>
      <c r="BU44" s="630" t="s">
        <v>523</v>
      </c>
      <c r="BV44" s="1961">
        <f>10*13.5/6.25</f>
        <v>21.6</v>
      </c>
      <c r="BW44" s="1961">
        <f>10*0.57*2.29</f>
        <v>13.052999999999999</v>
      </c>
      <c r="BX44" s="1961">
        <f>10*0.65*1.2</f>
        <v>7.8</v>
      </c>
      <c r="BY44"/>
      <c r="CR44" s="125"/>
      <c r="CS44" s="459" t="s">
        <v>280</v>
      </c>
      <c r="CT44" s="133" t="s">
        <v>282</v>
      </c>
      <c r="CU44" s="132"/>
      <c r="CV44" s="971">
        <v>0</v>
      </c>
      <c r="CW44" s="972">
        <v>21.5</v>
      </c>
      <c r="CX44" s="279"/>
      <c r="CY44" s="961">
        <v>0</v>
      </c>
      <c r="CZ44" s="961">
        <v>11</v>
      </c>
      <c r="DA44" s="279"/>
      <c r="DB44" s="961">
        <v>0</v>
      </c>
      <c r="DC44" s="965">
        <v>36</v>
      </c>
      <c r="DD44" s="460"/>
      <c r="DE44" s="460"/>
      <c r="DF44" s="460"/>
      <c r="DG44" s="460"/>
      <c r="DH44" s="460"/>
      <c r="DI44" s="460"/>
      <c r="DJ44" s="635"/>
      <c r="DK44" s="460"/>
      <c r="DL44" s="461"/>
      <c r="DP44" s="32"/>
      <c r="DQ44" s="32"/>
      <c r="DR44" s="3435" t="s">
        <v>348</v>
      </c>
      <c r="DS44" s="3436"/>
      <c r="DT44" s="3436"/>
      <c r="DU44" s="3436"/>
      <c r="DV44" s="3436"/>
      <c r="DW44" s="3436"/>
      <c r="DX44" s="3436"/>
      <c r="DY44" s="3436"/>
      <c r="DZ44" s="3437"/>
      <c r="FA44" s="1596" t="s">
        <v>1004</v>
      </c>
      <c r="FB44" s="1371">
        <v>2.76</v>
      </c>
      <c r="FC44" s="1371">
        <v>2.37</v>
      </c>
      <c r="FD44" s="1371">
        <v>1.36</v>
      </c>
      <c r="FE44" s="1371">
        <v>1.53</v>
      </c>
      <c r="FG44" s="676" t="s">
        <v>2011</v>
      </c>
      <c r="FH44" s="1999">
        <f t="shared" si="6"/>
        <v>6.0999999999999999E-2</v>
      </c>
      <c r="FI44" s="2001">
        <v>61</v>
      </c>
      <c r="FJ44" s="69"/>
      <c r="FK44" s="1999">
        <f t="shared" si="8"/>
        <v>5.6000000000000001E-2</v>
      </c>
      <c r="FL44" s="2001">
        <v>56</v>
      </c>
      <c r="FM44" s="69"/>
      <c r="FN44" s="1999">
        <f t="shared" si="9"/>
        <v>6.4000000000000001E-2</v>
      </c>
      <c r="FO44" s="2001">
        <v>64</v>
      </c>
      <c r="FP44" s="69"/>
    </row>
    <row r="45" spans="1:172" ht="12.75" customHeight="1" thickTop="1" thickBot="1" x14ac:dyDescent="0.25">
      <c r="A45" s="1157" t="s">
        <v>671</v>
      </c>
      <c r="C45" s="1042" t="str">
        <f ca="1">CELL("adresse",Saisies_Exploitation!AL85)</f>
        <v>'[Bilagreau7 exemple.xlsm]Saisies_Exploitation'!$AL$85</v>
      </c>
      <c r="D45" s="821" t="s">
        <v>968</v>
      </c>
      <c r="E45" s="2003">
        <f>E47/2</f>
        <v>0.375</v>
      </c>
      <c r="F45" s="2003">
        <f>F47/2</f>
        <v>0.4</v>
      </c>
      <c r="G45" s="2003">
        <f>G47/2</f>
        <v>0.42499999999999999</v>
      </c>
      <c r="I45" s="811"/>
      <c r="J45" s="613" t="str">
        <f>J18</f>
        <v xml:space="preserve">   - mâles année 1 (y compris taurillons)</v>
      </c>
      <c r="K45" s="1417">
        <v>7</v>
      </c>
      <c r="L45"/>
      <c r="M45"/>
      <c r="N45"/>
      <c r="O45"/>
      <c r="P45"/>
      <c r="Q45"/>
      <c r="R45"/>
      <c r="S45"/>
      <c r="AH45" s="604"/>
      <c r="AI45" s="605" t="s">
        <v>149</v>
      </c>
      <c r="AJ45" s="946">
        <v>4</v>
      </c>
      <c r="AK45" s="946">
        <v>3.5</v>
      </c>
      <c r="AL45" s="947">
        <v>2.5</v>
      </c>
      <c r="AQ45" s="1125" t="s">
        <v>30</v>
      </c>
      <c r="AR45" s="3467" t="s">
        <v>744</v>
      </c>
      <c r="AS45" s="3468"/>
      <c r="AT45" s="3468"/>
      <c r="AU45" s="3468"/>
      <c r="AV45" s="3468"/>
      <c r="AW45" s="3469"/>
      <c r="AZ45" s="1281"/>
      <c r="BA45" s="1281"/>
      <c r="BB45" s="1523" t="s">
        <v>1161</v>
      </c>
      <c r="BD45" s="1107">
        <v>800</v>
      </c>
      <c r="BE45" s="1107">
        <v>26</v>
      </c>
      <c r="BF45" s="1107">
        <v>7</v>
      </c>
      <c r="BG45" s="1107">
        <v>35</v>
      </c>
      <c r="BU45" s="630" t="s">
        <v>1495</v>
      </c>
      <c r="BV45" s="1961">
        <f>10*23.5/6.25</f>
        <v>37.6</v>
      </c>
      <c r="BW45" s="1961">
        <f>10*0.77*2.29</f>
        <v>17.632999999999999</v>
      </c>
      <c r="BX45" s="1961">
        <f>10*1.02*1.2</f>
        <v>12.239999999999998</v>
      </c>
      <c r="BY45"/>
      <c r="CR45" s="462"/>
      <c r="CS45" s="76" t="s">
        <v>284</v>
      </c>
      <c r="CT45" s="463" t="s">
        <v>283</v>
      </c>
      <c r="CU45" s="462"/>
      <c r="CV45" s="973">
        <v>18</v>
      </c>
      <c r="CW45" s="974">
        <v>29</v>
      </c>
      <c r="CX45" s="206"/>
      <c r="CY45" s="962">
        <v>6</v>
      </c>
      <c r="CZ45" s="962">
        <v>12</v>
      </c>
      <c r="DA45" s="206"/>
      <c r="DB45" s="962">
        <v>52</v>
      </c>
      <c r="DC45" s="966">
        <v>52</v>
      </c>
      <c r="DD45" s="464"/>
      <c r="DE45" s="464"/>
      <c r="DF45" s="464"/>
      <c r="DG45" s="464"/>
      <c r="DH45" s="464"/>
      <c r="DI45" s="464"/>
      <c r="DJ45" s="636"/>
      <c r="DK45" s="464"/>
      <c r="DL45" s="465"/>
      <c r="DN45" s="841" t="s">
        <v>39</v>
      </c>
      <c r="DO45" s="1135"/>
      <c r="DP45" s="1135"/>
      <c r="DQ45" s="1135"/>
      <c r="DR45" s="3441" t="s">
        <v>256</v>
      </c>
      <c r="DS45" s="3430"/>
      <c r="DT45" s="3430"/>
      <c r="DU45" s="3429" t="s">
        <v>257</v>
      </c>
      <c r="DV45" s="3430"/>
      <c r="DW45" s="3431"/>
      <c r="DX45" s="3430" t="s">
        <v>756</v>
      </c>
      <c r="DY45" s="3430"/>
      <c r="DZ45" s="3434"/>
      <c r="EB45" s="3487" t="str">
        <f ca="1">CELL("adresse",Engraissement!W31)</f>
        <v>'[Bilagreau7 exemple.xlsm]Engraissement'!$W$31</v>
      </c>
      <c r="EC45" s="3487"/>
      <c r="ED45" s="3487"/>
      <c r="EE45" s="3487"/>
      <c r="EF45" s="3487"/>
      <c r="EG45" s="3487"/>
      <c r="EH45" s="3487"/>
      <c r="EI45" s="3487"/>
      <c r="EJ45" s="3487"/>
      <c r="EK45" s="3487"/>
      <c r="EL45" s="3487"/>
      <c r="EM45" s="3487"/>
      <c r="EN45" s="3487"/>
      <c r="FA45" s="1596" t="s">
        <v>1005</v>
      </c>
      <c r="FB45" s="1374">
        <f>FB40*FB$44/FB$39</f>
        <v>3.6835384615384612</v>
      </c>
      <c r="FC45" s="1374">
        <f>FB45*FC$44/FB$44</f>
        <v>3.1630384615384619</v>
      </c>
      <c r="FD45" s="1374">
        <f>FD40*FD$44/FD$39</f>
        <v>1.547586206896552</v>
      </c>
      <c r="FE45" s="1374">
        <f>FE40*FE$44/FE$39</f>
        <v>2.3960377358490565</v>
      </c>
      <c r="FP45" s="69"/>
    </row>
    <row r="46" spans="1:172" ht="12.75" customHeight="1" thickTop="1" x14ac:dyDescent="0.2">
      <c r="A46" s="1158" t="s">
        <v>443</v>
      </c>
      <c r="C46" s="1042" t="str">
        <f ca="1">CELL("adresse",Saisies_Exploitation!AL86)</f>
        <v>'[Bilagreau7 exemple.xlsm]Saisies_Exploitation'!$AL$86</v>
      </c>
      <c r="D46" s="821" t="s">
        <v>969</v>
      </c>
      <c r="E46" s="2003">
        <f>E47*3/4</f>
        <v>0.5625</v>
      </c>
      <c r="F46" s="2003">
        <f>F47*3/4</f>
        <v>0.60000000000000009</v>
      </c>
      <c r="G46" s="2003">
        <f>G47*3/4</f>
        <v>0.63749999999999996</v>
      </c>
      <c r="I46" s="811"/>
      <c r="J46" s="613" t="str">
        <f>J19</f>
        <v xml:space="preserve">   - mâles année 2 (hors taurillons)</v>
      </c>
      <c r="K46" s="1417">
        <v>25</v>
      </c>
      <c r="L46"/>
      <c r="M46"/>
      <c r="N46"/>
      <c r="O46"/>
      <c r="P46"/>
      <c r="Q46"/>
      <c r="R46"/>
      <c r="S46"/>
      <c r="AH46" s="604"/>
      <c r="AI46" s="605" t="s">
        <v>150</v>
      </c>
      <c r="AJ46" s="946">
        <v>5.8</v>
      </c>
      <c r="AK46" s="946">
        <v>3.2</v>
      </c>
      <c r="AL46" s="947">
        <v>4.8</v>
      </c>
      <c r="AQ46" s="1125" t="s">
        <v>31</v>
      </c>
      <c r="AR46" s="3470" t="s">
        <v>749</v>
      </c>
      <c r="AS46" s="3261"/>
      <c r="AT46" s="3262"/>
      <c r="AU46" s="3471" t="s">
        <v>988</v>
      </c>
      <c r="AV46" s="3472"/>
      <c r="AW46" s="3473"/>
      <c r="AZ46" s="1282"/>
      <c r="BB46" s="1523" t="s">
        <v>217</v>
      </c>
      <c r="BD46" s="1107">
        <v>780</v>
      </c>
      <c r="BE46" s="1107">
        <v>30</v>
      </c>
      <c r="BF46" s="1107">
        <v>6.5</v>
      </c>
      <c r="BG46" s="1107">
        <v>35</v>
      </c>
      <c r="BU46" s="630" t="s">
        <v>1493</v>
      </c>
      <c r="BV46" s="1961">
        <f>10*18.6/6.25</f>
        <v>29.76</v>
      </c>
      <c r="BW46" s="1961">
        <f>10*0.65*2.29</f>
        <v>14.885</v>
      </c>
      <c r="BX46" s="1961">
        <f>10*0.74*1.2</f>
        <v>8.8800000000000008</v>
      </c>
      <c r="BY46"/>
      <c r="DN46" s="3491" t="s">
        <v>348</v>
      </c>
      <c r="DO46" s="50" t="s">
        <v>353</v>
      </c>
      <c r="DP46" s="50" t="s">
        <v>355</v>
      </c>
      <c r="DQ46" s="50" t="s">
        <v>344</v>
      </c>
      <c r="DR46" s="110" t="s">
        <v>249</v>
      </c>
      <c r="DS46" s="36" t="s">
        <v>247</v>
      </c>
      <c r="DT46" s="36"/>
      <c r="DU46" s="35" t="s">
        <v>249</v>
      </c>
      <c r="DV46" s="36" t="s">
        <v>247</v>
      </c>
      <c r="DW46" s="37"/>
      <c r="DX46" s="36" t="s">
        <v>249</v>
      </c>
      <c r="DY46" s="36" t="s">
        <v>247</v>
      </c>
      <c r="DZ46" s="109" t="s">
        <v>671</v>
      </c>
      <c r="EC46" s="32"/>
      <c r="ED46" s="32"/>
      <c r="EE46" s="32"/>
      <c r="EF46" s="3435" t="s">
        <v>348</v>
      </c>
      <c r="EG46" s="3436"/>
      <c r="EH46" s="3436"/>
      <c r="EI46" s="3436"/>
      <c r="EJ46" s="3436"/>
      <c r="EK46" s="3436"/>
      <c r="EL46" s="3436"/>
      <c r="EM46" s="3436"/>
      <c r="EN46" s="3437"/>
      <c r="FA46" s="1365" t="s">
        <v>2002</v>
      </c>
      <c r="FB46" s="1379">
        <v>3.2000000000000001E-2</v>
      </c>
      <c r="FC46" s="1379">
        <v>2.7E-2</v>
      </c>
      <c r="FD46" s="1380">
        <v>1.4999999999999999E-2</v>
      </c>
      <c r="FE46" s="1380">
        <v>1.7999999999999999E-2</v>
      </c>
      <c r="FG46" s="676" t="s">
        <v>522</v>
      </c>
      <c r="FH46" s="1999">
        <f t="shared" ref="FH46:FH54" si="11">FI46/1000</f>
        <v>0.58399999999999996</v>
      </c>
      <c r="FI46" s="2001">
        <v>584</v>
      </c>
      <c r="FJ46" s="69"/>
      <c r="FK46" s="1999">
        <f t="shared" ref="FK46:FK54" si="12">FL46/1000</f>
        <v>0.59199999999999997</v>
      </c>
      <c r="FL46" s="2001">
        <v>592</v>
      </c>
      <c r="FM46" s="69"/>
      <c r="FN46" s="1999">
        <f t="shared" ref="FN46:FN54" si="13">FO46/1000</f>
        <v>0.52100000000000002</v>
      </c>
      <c r="FO46" s="2001">
        <v>521</v>
      </c>
    </row>
    <row r="47" spans="1:172" ht="12.75" customHeight="1" thickBot="1" x14ac:dyDescent="0.25">
      <c r="A47" s="1442" t="s">
        <v>671</v>
      </c>
      <c r="C47" s="1128" t="str">
        <f ca="1">CELL("adresse",Saisies_Exploitation!AL87)</f>
        <v>'[Bilagreau7 exemple.xlsm]Saisies_Exploitation'!$AL$87</v>
      </c>
      <c r="D47" s="822" t="s">
        <v>970</v>
      </c>
      <c r="E47" s="935">
        <v>0.75</v>
      </c>
      <c r="F47" s="935">
        <v>0.8</v>
      </c>
      <c r="G47" s="937">
        <v>0.85</v>
      </c>
      <c r="I47" s="811"/>
      <c r="J47" s="613" t="str">
        <f>J20</f>
        <v xml:space="preserve">   - mâles année 3</v>
      </c>
      <c r="K47" s="1417">
        <v>34</v>
      </c>
      <c r="L47"/>
      <c r="M47"/>
      <c r="N47"/>
      <c r="O47"/>
      <c r="P47"/>
      <c r="Q47"/>
      <c r="R47"/>
      <c r="S47"/>
      <c r="AH47" s="604"/>
      <c r="AI47" s="613" t="s">
        <v>719</v>
      </c>
      <c r="AJ47" s="946">
        <v>14</v>
      </c>
      <c r="AK47" s="946">
        <v>34</v>
      </c>
      <c r="AL47" s="947">
        <v>4</v>
      </c>
      <c r="AQ47" s="1125" t="s">
        <v>32</v>
      </c>
      <c r="AR47" s="1467" t="s">
        <v>750</v>
      </c>
      <c r="AS47" s="1465" t="s">
        <v>751</v>
      </c>
      <c r="AT47" s="1343" t="s">
        <v>774</v>
      </c>
      <c r="AU47" s="1115" t="s">
        <v>750</v>
      </c>
      <c r="AV47" s="1464" t="s">
        <v>751</v>
      </c>
      <c r="AW47" s="1344" t="s">
        <v>774</v>
      </c>
      <c r="AZ47" s="1281"/>
      <c r="BA47" s="1282" t="s">
        <v>229</v>
      </c>
      <c r="BB47" s="1282"/>
      <c r="BU47" s="630" t="s">
        <v>524</v>
      </c>
      <c r="BV47" s="1961">
        <f>10*20.2/6.25</f>
        <v>32.32</v>
      </c>
      <c r="BW47" s="1961">
        <f>10*0.65*2.29</f>
        <v>14.885</v>
      </c>
      <c r="BX47" s="1961">
        <f>10*0.89*1.2</f>
        <v>10.68</v>
      </c>
      <c r="BY47"/>
      <c r="DN47" s="3492"/>
      <c r="DO47" s="177" t="s">
        <v>354</v>
      </c>
      <c r="DP47" s="176" t="s">
        <v>356</v>
      </c>
      <c r="DQ47" s="51" t="s">
        <v>343</v>
      </c>
      <c r="DR47" s="110" t="s">
        <v>248</v>
      </c>
      <c r="DS47" s="36" t="s">
        <v>246</v>
      </c>
      <c r="DT47" s="36" t="s">
        <v>244</v>
      </c>
      <c r="DU47" s="35" t="s">
        <v>248</v>
      </c>
      <c r="DV47" s="36" t="s">
        <v>246</v>
      </c>
      <c r="DW47" s="37" t="s">
        <v>244</v>
      </c>
      <c r="DX47" s="36" t="s">
        <v>248</v>
      </c>
      <c r="DY47" s="36" t="s">
        <v>246</v>
      </c>
      <c r="DZ47" s="109" t="s">
        <v>244</v>
      </c>
      <c r="EB47" s="841" t="s">
        <v>21</v>
      </c>
      <c r="EC47" s="1135"/>
      <c r="ED47" s="32"/>
      <c r="EE47" s="32"/>
      <c r="EF47" s="3441" t="s">
        <v>256</v>
      </c>
      <c r="EG47" s="3430"/>
      <c r="EH47" s="3430"/>
      <c r="EI47" s="3429" t="s">
        <v>257</v>
      </c>
      <c r="EJ47" s="3430"/>
      <c r="EK47" s="3431"/>
      <c r="EL47" s="3430" t="s">
        <v>756</v>
      </c>
      <c r="EM47" s="3430"/>
      <c r="EN47" s="3434"/>
      <c r="FA47" s="2009" t="s">
        <v>2017</v>
      </c>
      <c r="FB47" s="1374">
        <f>FB16</f>
        <v>0.56999999999999995</v>
      </c>
      <c r="FC47" s="1374">
        <f>FC16</f>
        <v>0.5</v>
      </c>
      <c r="FG47" s="676" t="s">
        <v>523</v>
      </c>
      <c r="FH47" s="1999">
        <f t="shared" si="11"/>
        <v>0.47199999999999998</v>
      </c>
      <c r="FI47" s="2001">
        <v>472</v>
      </c>
      <c r="FJ47" s="69"/>
      <c r="FK47" s="1999">
        <f t="shared" si="12"/>
        <v>0.61399999999999999</v>
      </c>
      <c r="FL47" s="2001">
        <v>614</v>
      </c>
      <c r="FM47" s="69"/>
      <c r="FN47" s="1999">
        <f t="shared" si="13"/>
        <v>0.44</v>
      </c>
      <c r="FO47" s="2001">
        <v>440</v>
      </c>
      <c r="FP47" s="69"/>
    </row>
    <row r="48" spans="1:172" ht="12.75" customHeight="1" thickTop="1" thickBot="1" x14ac:dyDescent="0.25">
      <c r="A48" s="1442" t="s">
        <v>671</v>
      </c>
      <c r="C48" s="1039"/>
      <c r="D48" s="605"/>
      <c r="E48" s="605"/>
      <c r="F48" s="605"/>
      <c r="G48" s="606"/>
      <c r="I48" s="811" t="str">
        <f>I21</f>
        <v>● Tous taurillons (année 2)</v>
      </c>
      <c r="J48" s="613"/>
      <c r="K48" s="1417">
        <v>12</v>
      </c>
      <c r="L48"/>
      <c r="M48"/>
      <c r="N48"/>
      <c r="O48"/>
      <c r="P48"/>
      <c r="Q48"/>
      <c r="R48"/>
      <c r="S48"/>
      <c r="AH48" s="604"/>
      <c r="AI48" s="605" t="s">
        <v>720</v>
      </c>
      <c r="AJ48" s="946">
        <v>6.1</v>
      </c>
      <c r="AK48" s="946">
        <v>8.8000000000000007</v>
      </c>
      <c r="AL48" s="947">
        <v>7.5</v>
      </c>
      <c r="AQ48" s="1125" t="s">
        <v>33</v>
      </c>
      <c r="AR48" s="1117">
        <v>25</v>
      </c>
      <c r="AS48" s="974">
        <v>15</v>
      </c>
      <c r="AT48" s="974">
        <v>5</v>
      </c>
      <c r="AU48" s="1118">
        <v>15</v>
      </c>
      <c r="AV48" s="973">
        <v>10</v>
      </c>
      <c r="AW48" s="1345">
        <v>0</v>
      </c>
      <c r="AZ48" s="1281"/>
      <c r="BA48" s="1281"/>
      <c r="BB48" s="1281" t="s">
        <v>54</v>
      </c>
      <c r="BD48" s="1107">
        <v>103</v>
      </c>
      <c r="BE48" s="1107">
        <v>4</v>
      </c>
      <c r="BF48" s="1107">
        <v>0.8</v>
      </c>
      <c r="BG48" s="1107">
        <v>1.1499999999999999</v>
      </c>
      <c r="BU48" s="630" t="s">
        <v>1470</v>
      </c>
      <c r="BV48" s="1961">
        <f>10*18.8/6.25</f>
        <v>30.08</v>
      </c>
      <c r="BW48" s="1961">
        <f>10*0.59*2.29</f>
        <v>13.510999999999999</v>
      </c>
      <c r="BX48" s="1961">
        <f>10*0.78*1.2</f>
        <v>9.3600000000000012</v>
      </c>
      <c r="BY48"/>
      <c r="CA48" s="1572"/>
      <c r="DN48" s="252" t="s">
        <v>345</v>
      </c>
      <c r="DO48" s="253"/>
      <c r="DP48" s="254"/>
      <c r="DQ48" s="255">
        <v>5</v>
      </c>
      <c r="DR48" s="256"/>
      <c r="DS48" s="959">
        <v>50</v>
      </c>
      <c r="DT48" s="959">
        <v>72</v>
      </c>
      <c r="DU48" s="210"/>
      <c r="DV48" s="960">
        <v>29</v>
      </c>
      <c r="DW48" s="990">
        <v>32</v>
      </c>
      <c r="DX48" s="118"/>
      <c r="DY48" s="959">
        <v>72</v>
      </c>
      <c r="DZ48" s="996">
        <v>115</v>
      </c>
      <c r="EB48" s="1156" t="s">
        <v>348</v>
      </c>
      <c r="EC48" s="50" t="s">
        <v>353</v>
      </c>
      <c r="ED48" s="50" t="s">
        <v>381</v>
      </c>
      <c r="EE48" s="107" t="s">
        <v>384</v>
      </c>
      <c r="EF48" s="110" t="s">
        <v>249</v>
      </c>
      <c r="EG48" s="36" t="s">
        <v>247</v>
      </c>
      <c r="EH48" s="36"/>
      <c r="EI48" s="35" t="s">
        <v>249</v>
      </c>
      <c r="EJ48" s="36" t="s">
        <v>247</v>
      </c>
      <c r="EK48" s="37"/>
      <c r="EL48" s="36" t="s">
        <v>249</v>
      </c>
      <c r="EM48" s="36" t="s">
        <v>247</v>
      </c>
      <c r="EN48" s="109"/>
      <c r="FG48" t="s">
        <v>1495</v>
      </c>
      <c r="FH48" s="1999">
        <f t="shared" si="11"/>
        <v>0.10299999999999999</v>
      </c>
      <c r="FI48" s="2001">
        <v>103</v>
      </c>
      <c r="FK48" s="1999">
        <f t="shared" si="12"/>
        <v>0.104</v>
      </c>
      <c r="FL48" s="2001">
        <v>104</v>
      </c>
      <c r="FN48" s="1999">
        <f t="shared" si="13"/>
        <v>0.111</v>
      </c>
      <c r="FO48" s="2001">
        <v>111</v>
      </c>
      <c r="FP48" s="69"/>
    </row>
    <row r="49" spans="1:172" ht="12.75" customHeight="1" thickTop="1" thickBot="1" x14ac:dyDescent="0.25">
      <c r="A49" s="1442" t="s">
        <v>671</v>
      </c>
      <c r="C49" s="1128" t="str">
        <f ca="1">CELL("adresse",Saisies_Exploitation!AL89)</f>
        <v>'[Bilagreau7 exemple.xlsm]Saisies_Exploitation'!$AL$89</v>
      </c>
      <c r="D49" s="1731" t="s">
        <v>1521</v>
      </c>
      <c r="E49" s="935">
        <v>1</v>
      </c>
      <c r="I49" s="811" t="str">
        <f>I22</f>
        <v>● Génisses à l'engraissement</v>
      </c>
      <c r="J49" s="613"/>
      <c r="K49" s="1418"/>
      <c r="L49"/>
      <c r="M49"/>
      <c r="N49"/>
      <c r="O49"/>
      <c r="P49"/>
      <c r="Q49"/>
      <c r="R49"/>
      <c r="S49"/>
      <c r="AH49" s="604"/>
      <c r="AI49" s="2915" t="s">
        <v>2369</v>
      </c>
      <c r="AJ49" s="946">
        <v>4</v>
      </c>
      <c r="AK49" s="946">
        <v>1.5</v>
      </c>
      <c r="AL49" s="947">
        <v>6</v>
      </c>
      <c r="AZ49" s="1281"/>
      <c r="BA49" s="1281"/>
      <c r="BB49" s="1281" t="s">
        <v>55</v>
      </c>
      <c r="BD49" s="1107">
        <v>110</v>
      </c>
      <c r="BE49" s="1107">
        <v>5.7</v>
      </c>
      <c r="BF49" s="1107">
        <v>0.75</v>
      </c>
      <c r="BG49" s="1107">
        <v>1.05</v>
      </c>
      <c r="BU49" s="630" t="s">
        <v>1494</v>
      </c>
      <c r="BV49" s="1961">
        <f>10*19.8/6.25</f>
        <v>31.68</v>
      </c>
      <c r="BW49" s="1961">
        <f>10*0.58*2.29</f>
        <v>13.282</v>
      </c>
      <c r="BX49" s="1961">
        <f>10*0.86*1.2</f>
        <v>10.319999999999999</v>
      </c>
      <c r="BY49"/>
      <c r="DN49" s="257" t="s">
        <v>342</v>
      </c>
      <c r="DO49" s="258"/>
      <c r="DP49" s="259"/>
      <c r="DQ49" s="260">
        <v>6</v>
      </c>
      <c r="DR49" s="261"/>
      <c r="DS49" s="953">
        <v>60</v>
      </c>
      <c r="DT49" s="953">
        <v>82</v>
      </c>
      <c r="DU49" s="204"/>
      <c r="DV49" s="946">
        <v>32</v>
      </c>
      <c r="DW49" s="947">
        <v>36</v>
      </c>
      <c r="DX49" s="128"/>
      <c r="DY49" s="953">
        <v>89</v>
      </c>
      <c r="DZ49" s="997">
        <v>124</v>
      </c>
      <c r="EB49" s="68"/>
      <c r="EC49" s="51" t="s">
        <v>354</v>
      </c>
      <c r="ED49" s="51" t="s">
        <v>382</v>
      </c>
      <c r="EE49" s="111" t="s">
        <v>385</v>
      </c>
      <c r="EF49" s="112" t="s">
        <v>248</v>
      </c>
      <c r="EG49" s="39" t="s">
        <v>246</v>
      </c>
      <c r="EH49" s="39" t="s">
        <v>244</v>
      </c>
      <c r="EI49" s="38" t="s">
        <v>248</v>
      </c>
      <c r="EJ49" s="39" t="s">
        <v>246</v>
      </c>
      <c r="EK49" s="40" t="s">
        <v>244</v>
      </c>
      <c r="EL49" s="39" t="s">
        <v>248</v>
      </c>
      <c r="EM49" s="39" t="s">
        <v>246</v>
      </c>
      <c r="EN49" s="113" t="s">
        <v>244</v>
      </c>
      <c r="FA49" s="1364" t="s">
        <v>996</v>
      </c>
      <c r="FB49" s="1372"/>
      <c r="FC49" s="1372"/>
      <c r="FD49" s="1372"/>
      <c r="FE49" s="1372"/>
      <c r="FG49" s="1579" t="s">
        <v>1493</v>
      </c>
      <c r="FH49" s="1999">
        <f t="shared" si="11"/>
        <v>9.0999999999999998E-2</v>
      </c>
      <c r="FI49" s="2001">
        <v>91</v>
      </c>
      <c r="FJ49" s="69"/>
      <c r="FK49" s="1999">
        <f t="shared" si="12"/>
        <v>9.0999999999999998E-2</v>
      </c>
      <c r="FL49" s="2001">
        <v>91</v>
      </c>
      <c r="FM49" s="69"/>
      <c r="FN49" s="1999">
        <f t="shared" si="13"/>
        <v>0.11</v>
      </c>
      <c r="FO49" s="2001">
        <v>110</v>
      </c>
      <c r="FP49" s="69"/>
    </row>
    <row r="50" spans="1:172" ht="12.75" customHeight="1" thickTop="1" x14ac:dyDescent="0.2">
      <c r="A50" s="1442" t="s">
        <v>671</v>
      </c>
      <c r="C50" s="1128" t="str">
        <f ca="1">CELL("adresse",Saisies_Exploitation!AL90)</f>
        <v>'[Bilagreau7 exemple.xlsm]Saisies_Exploitation'!$AL$90</v>
      </c>
      <c r="D50" s="1731" t="s">
        <v>1522</v>
      </c>
      <c r="E50" s="935">
        <v>1</v>
      </c>
      <c r="I50" s="811"/>
      <c r="J50" s="613" t="str">
        <f>J23</f>
        <v xml:space="preserve">   - génisses année 2</v>
      </c>
      <c r="K50" s="1417">
        <v>18</v>
      </c>
      <c r="L50"/>
      <c r="M50"/>
      <c r="N50"/>
      <c r="O50"/>
      <c r="P50"/>
      <c r="Q50"/>
      <c r="R50"/>
      <c r="S50"/>
      <c r="AH50" s="604"/>
      <c r="AI50" s="2914" t="s">
        <v>2370</v>
      </c>
      <c r="AJ50" s="946">
        <v>7</v>
      </c>
      <c r="AK50" s="946">
        <v>4</v>
      </c>
      <c r="AL50" s="947">
        <v>8</v>
      </c>
      <c r="AZ50" s="1281"/>
      <c r="BA50" s="1281"/>
      <c r="BB50" s="1281" t="s">
        <v>56</v>
      </c>
      <c r="BD50" s="1107">
        <v>100</v>
      </c>
      <c r="BE50" s="1107">
        <v>4.8</v>
      </c>
      <c r="BF50" s="1107">
        <v>1.2</v>
      </c>
      <c r="BG50" s="1107">
        <v>1.3</v>
      </c>
      <c r="BU50" s="630" t="s">
        <v>1763</v>
      </c>
      <c r="BV50" s="1961">
        <f>10*19.8/6.25</f>
        <v>31.68</v>
      </c>
      <c r="BW50" s="1961">
        <f>10*0.58*2.29</f>
        <v>13.282</v>
      </c>
      <c r="BX50" s="1961">
        <f>10*0.85*1.2</f>
        <v>10.199999999999999</v>
      </c>
      <c r="BY50"/>
      <c r="DN50" s="120"/>
      <c r="DO50" s="258"/>
      <c r="DP50" s="259"/>
      <c r="DQ50" s="260">
        <v>7</v>
      </c>
      <c r="DR50" s="261"/>
      <c r="DS50" s="953">
        <v>70</v>
      </c>
      <c r="DT50" s="953">
        <v>86</v>
      </c>
      <c r="DU50" s="204"/>
      <c r="DV50" s="946">
        <v>34</v>
      </c>
      <c r="DW50" s="947">
        <v>37</v>
      </c>
      <c r="DX50" s="128"/>
      <c r="DY50" s="953">
        <v>106</v>
      </c>
      <c r="DZ50" s="997">
        <v>134</v>
      </c>
      <c r="EB50" s="52" t="s">
        <v>380</v>
      </c>
      <c r="EC50" s="55">
        <v>1</v>
      </c>
      <c r="ED50" s="517"/>
      <c r="EE50" s="1080"/>
      <c r="EF50" s="105"/>
      <c r="EG50" s="956">
        <v>10</v>
      </c>
      <c r="EH50" s="1055">
        <v>27</v>
      </c>
      <c r="EI50" s="210"/>
      <c r="EJ50" s="956">
        <v>3.5</v>
      </c>
      <c r="EK50" s="1055">
        <v>8</v>
      </c>
      <c r="EL50" s="118"/>
      <c r="EM50" s="956">
        <v>26</v>
      </c>
      <c r="EN50" s="1064">
        <v>38</v>
      </c>
      <c r="FA50" s="1352" t="s">
        <v>1002</v>
      </c>
      <c r="FB50" s="1371">
        <v>12.6</v>
      </c>
      <c r="FC50" s="1371">
        <v>10.7</v>
      </c>
      <c r="FD50" s="1371">
        <v>11.8</v>
      </c>
      <c r="FE50" s="1371">
        <v>15</v>
      </c>
      <c r="FG50" s="676" t="s">
        <v>1993</v>
      </c>
      <c r="FH50" s="1999">
        <f t="shared" si="11"/>
        <v>0.23699999999999999</v>
      </c>
      <c r="FI50" s="2001">
        <v>237</v>
      </c>
      <c r="FJ50" s="69"/>
      <c r="FK50" s="1999">
        <f t="shared" si="12"/>
        <v>0.23</v>
      </c>
      <c r="FL50" s="2001">
        <v>230</v>
      </c>
      <c r="FM50" s="69"/>
      <c r="FN50" s="1999">
        <f t="shared" si="13"/>
        <v>0.24199999999999999</v>
      </c>
      <c r="FO50" s="2001">
        <v>242</v>
      </c>
    </row>
    <row r="51" spans="1:172" ht="12.75" customHeight="1" thickBot="1" x14ac:dyDescent="0.25">
      <c r="A51" s="1442" t="s">
        <v>671</v>
      </c>
      <c r="I51" s="811"/>
      <c r="J51" s="613" t="str">
        <f>J24</f>
        <v xml:space="preserve">   - génisses année 3</v>
      </c>
      <c r="K51" s="1417">
        <v>25</v>
      </c>
      <c r="L51"/>
      <c r="M51"/>
      <c r="N51"/>
      <c r="O51"/>
      <c r="P51"/>
      <c r="Q51"/>
      <c r="R51"/>
      <c r="S51"/>
      <c r="AH51" s="758"/>
      <c r="AI51" s="2916" t="s">
        <v>2371</v>
      </c>
      <c r="AJ51" s="948">
        <v>15</v>
      </c>
      <c r="AK51" s="948">
        <v>7</v>
      </c>
      <c r="AL51" s="949">
        <v>18</v>
      </c>
      <c r="AZ51" s="1281"/>
      <c r="BA51" s="1281"/>
      <c r="BB51" s="1281" t="s">
        <v>57</v>
      </c>
      <c r="BD51" s="1107">
        <v>100</v>
      </c>
      <c r="BE51" s="1107">
        <v>6.5</v>
      </c>
      <c r="BF51" s="1107">
        <v>1</v>
      </c>
      <c r="BG51" s="1107">
        <v>1.6</v>
      </c>
      <c r="BU51" s="630" t="s">
        <v>1762</v>
      </c>
      <c r="BV51" s="1961">
        <f>10*19.8/6.25</f>
        <v>31.68</v>
      </c>
      <c r="BW51" s="1961">
        <f>10*0.58*2.29</f>
        <v>13.282</v>
      </c>
      <c r="BX51" s="1961">
        <f>10*0.85*1.2</f>
        <v>10.199999999999999</v>
      </c>
      <c r="BY51"/>
      <c r="DN51" s="262"/>
      <c r="DO51" s="258"/>
      <c r="DP51" s="259"/>
      <c r="DQ51" s="260">
        <v>8</v>
      </c>
      <c r="DR51" s="263"/>
      <c r="DS51" s="958">
        <v>80</v>
      </c>
      <c r="DT51" s="958">
        <v>95</v>
      </c>
      <c r="DU51" s="206"/>
      <c r="DV51" s="962">
        <v>35</v>
      </c>
      <c r="DW51" s="995">
        <v>38</v>
      </c>
      <c r="DX51" s="207"/>
      <c r="DY51" s="958">
        <v>123</v>
      </c>
      <c r="DZ51" s="1002">
        <v>143</v>
      </c>
      <c r="EB51" s="120"/>
      <c r="EC51" s="34">
        <v>2</v>
      </c>
      <c r="ED51" s="1081"/>
      <c r="EE51" s="1082"/>
      <c r="EF51" s="106"/>
      <c r="EG51" s="1056">
        <v>26</v>
      </c>
      <c r="EH51" s="1056">
        <v>52</v>
      </c>
      <c r="EI51" s="660"/>
      <c r="EJ51" s="1056">
        <v>8.5</v>
      </c>
      <c r="EK51" s="1056">
        <v>23</v>
      </c>
      <c r="EL51" s="122"/>
      <c r="EM51" s="1056">
        <v>48</v>
      </c>
      <c r="EN51" s="1065">
        <v>74</v>
      </c>
      <c r="FA51" s="1352" t="s">
        <v>1003</v>
      </c>
      <c r="FB51" s="1371">
        <v>0.28999999999999998</v>
      </c>
      <c r="FC51" s="1371">
        <v>0.2</v>
      </c>
      <c r="FD51" s="1371">
        <v>0.24</v>
      </c>
      <c r="FE51" s="1371">
        <v>0.42</v>
      </c>
      <c r="FG51" s="1579" t="s">
        <v>1470</v>
      </c>
      <c r="FH51" s="1999">
        <f t="shared" si="11"/>
        <v>0.23899999999999999</v>
      </c>
      <c r="FI51" s="2001">
        <v>239</v>
      </c>
      <c r="FJ51" s="69"/>
      <c r="FK51" s="1999">
        <f t="shared" si="12"/>
        <v>0.217</v>
      </c>
      <c r="FL51" s="2001">
        <v>217</v>
      </c>
      <c r="FM51" s="69"/>
      <c r="FN51" s="1999">
        <f t="shared" si="13"/>
        <v>0.19400000000000001</v>
      </c>
      <c r="FO51" s="2001">
        <v>194</v>
      </c>
      <c r="FP51" s="69"/>
    </row>
    <row r="52" spans="1:172" ht="12.75" customHeight="1" thickTop="1" x14ac:dyDescent="0.2">
      <c r="A52" s="1442" t="s">
        <v>671</v>
      </c>
      <c r="C52" s="1126"/>
      <c r="D52" s="603"/>
      <c r="E52" s="603" t="s">
        <v>578</v>
      </c>
      <c r="F52" s="603" t="s">
        <v>579</v>
      </c>
      <c r="G52" s="757" t="s">
        <v>580</v>
      </c>
      <c r="I52" s="811" t="str">
        <f>I25</f>
        <v>● Toutes vaches de réforme</v>
      </c>
      <c r="J52" s="613"/>
      <c r="K52" s="1417">
        <v>25</v>
      </c>
      <c r="L52"/>
      <c r="M52"/>
      <c r="N52"/>
      <c r="O52"/>
      <c r="P52"/>
      <c r="Q52"/>
      <c r="R52"/>
      <c r="S52"/>
      <c r="AQ52" s="1470" t="str">
        <f ca="1">CELL("adresse",Ferti_Cultures!AF30)</f>
        <v>'[Bilagreau7 exemple.xlsm]Ferti_Cultures'!$AF$30</v>
      </c>
      <c r="AR52" s="1554" t="s">
        <v>1201</v>
      </c>
      <c r="AS52" s="841"/>
      <c r="AT52" s="841"/>
      <c r="AU52" s="841"/>
      <c r="AV52" s="841"/>
      <c r="AW52" s="841"/>
      <c r="AX52" s="841"/>
      <c r="AZ52" s="1281"/>
      <c r="BB52" s="1281" t="s">
        <v>58</v>
      </c>
      <c r="BD52" s="1107">
        <v>850</v>
      </c>
      <c r="BE52" s="1107">
        <v>28</v>
      </c>
      <c r="BF52" s="1107">
        <v>6.8</v>
      </c>
      <c r="BG52" s="1107">
        <v>32</v>
      </c>
      <c r="BU52" s="630" t="s">
        <v>525</v>
      </c>
      <c r="BV52" s="1961">
        <f>10*16.5/6.25</f>
        <v>26.4</v>
      </c>
      <c r="BW52" s="1961">
        <f>10*0.68*2.29</f>
        <v>15.572000000000003</v>
      </c>
      <c r="BX52" s="1961">
        <f>10*0.74*1.2</f>
        <v>8.8800000000000008</v>
      </c>
      <c r="BY52"/>
      <c r="DN52" s="80" t="s">
        <v>351</v>
      </c>
      <c r="DO52" s="81">
        <v>1</v>
      </c>
      <c r="DP52" s="81"/>
      <c r="DQ52" s="265"/>
      <c r="DR52" s="266"/>
      <c r="DS52" s="988">
        <v>10</v>
      </c>
      <c r="DT52" s="988">
        <v>27</v>
      </c>
      <c r="DU52" s="268"/>
      <c r="DV52" s="991">
        <v>3.5</v>
      </c>
      <c r="DW52" s="992">
        <v>8</v>
      </c>
      <c r="DX52" s="269"/>
      <c r="DY52" s="988">
        <v>26</v>
      </c>
      <c r="DZ52" s="998">
        <v>38</v>
      </c>
      <c r="EB52" s="120"/>
      <c r="EC52" s="68">
        <v>3</v>
      </c>
      <c r="ED52" s="366">
        <v>28</v>
      </c>
      <c r="EE52" s="109" t="s">
        <v>183</v>
      </c>
      <c r="EF52" s="125"/>
      <c r="EG52" s="938">
        <v>0</v>
      </c>
      <c r="EH52" s="938">
        <v>16</v>
      </c>
      <c r="EI52" s="204"/>
      <c r="EJ52" s="938">
        <v>0</v>
      </c>
      <c r="EK52" s="938">
        <v>5</v>
      </c>
      <c r="EL52" s="128"/>
      <c r="EM52" s="938">
        <v>0</v>
      </c>
      <c r="EN52" s="1066">
        <v>20</v>
      </c>
      <c r="FA52" s="1352" t="s">
        <v>1004</v>
      </c>
      <c r="FB52" s="1371">
        <v>1.88</v>
      </c>
      <c r="FC52" s="1371">
        <v>1.33</v>
      </c>
      <c r="FD52" s="1371">
        <v>1.56</v>
      </c>
      <c r="FE52" s="1371">
        <v>2.27</v>
      </c>
      <c r="FG52" t="s">
        <v>1494</v>
      </c>
      <c r="FH52" s="1999">
        <f t="shared" si="11"/>
        <v>0.28499999999999998</v>
      </c>
      <c r="FI52" s="2001">
        <v>285</v>
      </c>
      <c r="FJ52" s="235"/>
      <c r="FK52" s="1999">
        <f t="shared" si="12"/>
        <v>0.24199999999999999</v>
      </c>
      <c r="FL52" s="2001">
        <v>242</v>
      </c>
      <c r="FN52" s="1999">
        <f t="shared" si="13"/>
        <v>0.29399999999999998</v>
      </c>
      <c r="FO52" s="2001">
        <v>294</v>
      </c>
      <c r="FP52" s="69"/>
    </row>
    <row r="53" spans="1:172" ht="12.75" customHeight="1" x14ac:dyDescent="0.2">
      <c r="A53" s="1442" t="s">
        <v>671</v>
      </c>
      <c r="C53" s="1128" t="str">
        <f ca="1">CELL("adresse",Saisies_Exploitation!AL96)</f>
        <v>'[Bilagreau7 exemple.xlsm]Saisies_Exploitation'!$AL$96</v>
      </c>
      <c r="D53" s="822" t="s">
        <v>0</v>
      </c>
      <c r="E53" s="935">
        <v>0.65</v>
      </c>
      <c r="F53" s="935">
        <v>0.7</v>
      </c>
      <c r="G53" s="937">
        <v>0.75</v>
      </c>
      <c r="I53" s="811" t="str">
        <f>I26</f>
        <v>● Autres élevages</v>
      </c>
      <c r="J53" s="613"/>
      <c r="K53" s="1418"/>
      <c r="L53"/>
      <c r="M53"/>
      <c r="N53"/>
      <c r="O53"/>
      <c r="P53"/>
      <c r="Q53"/>
      <c r="R53"/>
      <c r="S53"/>
      <c r="AQ53" t="s">
        <v>34</v>
      </c>
      <c r="AR53" s="3260" t="s">
        <v>776</v>
      </c>
      <c r="AS53" s="3261"/>
      <c r="AT53" s="3261"/>
      <c r="AU53" s="3261"/>
      <c r="AV53" s="3262"/>
      <c r="AZ53" s="1281"/>
      <c r="BB53" s="1281" t="s">
        <v>217</v>
      </c>
      <c r="BD53" s="1107">
        <v>750</v>
      </c>
      <c r="BE53" s="1107">
        <v>32</v>
      </c>
      <c r="BF53" s="1107">
        <v>6.5</v>
      </c>
      <c r="BG53" s="1107">
        <v>35</v>
      </c>
      <c r="BU53" s="630" t="s">
        <v>526</v>
      </c>
      <c r="BV53" s="1961">
        <f>10*14/6.25</f>
        <v>22.4</v>
      </c>
      <c r="BW53" s="1961">
        <f>10*0.55*2.29</f>
        <v>12.595000000000001</v>
      </c>
      <c r="BX53" s="1961">
        <f>10*0.81*1.2</f>
        <v>9.7200000000000006</v>
      </c>
      <c r="BY53"/>
      <c r="DN53" s="61" t="s">
        <v>352</v>
      </c>
      <c r="DO53" s="50">
        <v>2</v>
      </c>
      <c r="DP53" s="50"/>
      <c r="DQ53" s="212">
        <v>5</v>
      </c>
      <c r="DR53" s="270"/>
      <c r="DS53" s="989">
        <v>26</v>
      </c>
      <c r="DT53" s="989">
        <v>41</v>
      </c>
      <c r="DU53" s="214"/>
      <c r="DV53" s="993">
        <v>8.5</v>
      </c>
      <c r="DW53" s="952">
        <v>20</v>
      </c>
      <c r="DX53" s="215"/>
      <c r="DY53" s="989">
        <v>37</v>
      </c>
      <c r="DZ53" s="999">
        <v>62</v>
      </c>
      <c r="EB53" s="120"/>
      <c r="EC53" s="68"/>
      <c r="ED53" s="366"/>
      <c r="EE53" s="109" t="s">
        <v>163</v>
      </c>
      <c r="EF53" s="125"/>
      <c r="EG53" s="68"/>
      <c r="EH53" s="938">
        <v>36</v>
      </c>
      <c r="EI53" s="204"/>
      <c r="EJ53" s="68"/>
      <c r="EK53" s="938">
        <v>12</v>
      </c>
      <c r="EL53" s="128"/>
      <c r="EM53" s="68"/>
      <c r="EN53" s="1066">
        <v>47</v>
      </c>
      <c r="FA53" s="1352" t="s">
        <v>1005</v>
      </c>
      <c r="FB53" s="1371">
        <v>2.4900000000000002</v>
      </c>
      <c r="FC53" s="1371">
        <v>1.75</v>
      </c>
      <c r="FD53" s="1371">
        <v>2.0499999999999998</v>
      </c>
      <c r="FE53" s="1371">
        <v>3.61</v>
      </c>
      <c r="FG53" s="1579" t="s">
        <v>1293</v>
      </c>
      <c r="FH53" s="1999">
        <f t="shared" si="11"/>
        <v>0.33900000000000002</v>
      </c>
      <c r="FI53" s="2001">
        <v>339</v>
      </c>
      <c r="FJ53" s="69"/>
      <c r="FK53" s="1999">
        <f t="shared" si="12"/>
        <v>0.33800000000000002</v>
      </c>
      <c r="FL53" s="2001">
        <v>338</v>
      </c>
      <c r="FM53" s="69"/>
      <c r="FN53" s="1999">
        <f t="shared" si="13"/>
        <v>0.33500000000000002</v>
      </c>
      <c r="FO53" s="2001">
        <v>335</v>
      </c>
    </row>
    <row r="54" spans="1:172" ht="12.75" customHeight="1" x14ac:dyDescent="0.2">
      <c r="A54" s="1442" t="s">
        <v>671</v>
      </c>
      <c r="C54" s="1039"/>
      <c r="D54" s="605"/>
      <c r="E54" s="605"/>
      <c r="F54" s="605"/>
      <c r="G54" s="606"/>
      <c r="I54" s="814"/>
      <c r="J54" s="831" t="str">
        <f>J27</f>
        <v>Veaux de boucherie (par animal)</v>
      </c>
      <c r="K54" s="1419">
        <v>1.5</v>
      </c>
      <c r="L54"/>
      <c r="M54"/>
      <c r="N54"/>
      <c r="O54"/>
      <c r="P54"/>
      <c r="Q54"/>
      <c r="R54"/>
      <c r="S54"/>
      <c r="AA54" t="s">
        <v>671</v>
      </c>
      <c r="AH54" s="1119" t="str">
        <f ca="1">CELL("adresse",Ferti_Prairies!AY68)</f>
        <v>'[Bilagreau7 exemple.xlsm]Ferti_Prairies'!$AY$68</v>
      </c>
      <c r="AI54" s="603"/>
      <c r="AJ54" s="701" t="s">
        <v>625</v>
      </c>
      <c r="AK54" s="701" t="s">
        <v>187</v>
      </c>
      <c r="AL54" s="616" t="s">
        <v>665</v>
      </c>
      <c r="AQ54" s="1442" t="s">
        <v>1098</v>
      </c>
      <c r="AR54" s="1115" t="s">
        <v>773</v>
      </c>
      <c r="AS54" s="1464" t="s">
        <v>750</v>
      </c>
      <c r="AT54" s="1464" t="s">
        <v>751</v>
      </c>
      <c r="AU54" s="1464" t="s">
        <v>774</v>
      </c>
      <c r="AV54" s="1465" t="s">
        <v>775</v>
      </c>
      <c r="AZ54" s="1281"/>
      <c r="BA54" s="1281" t="s">
        <v>61</v>
      </c>
      <c r="BB54" s="1281"/>
      <c r="BU54" s="630" t="s">
        <v>527</v>
      </c>
      <c r="BV54" s="1961">
        <f>10*18.1/6.25</f>
        <v>28.96</v>
      </c>
      <c r="BW54" s="1961">
        <f>10*0.51*2.29</f>
        <v>11.678999999999998</v>
      </c>
      <c r="BX54" s="1961">
        <f>10*0.79*1.2</f>
        <v>9.48</v>
      </c>
      <c r="BY54"/>
      <c r="DN54" s="61"/>
      <c r="DO54" s="51"/>
      <c r="DP54" s="51"/>
      <c r="DQ54" s="126">
        <v>6</v>
      </c>
      <c r="DR54" s="261"/>
      <c r="DS54" s="953">
        <v>30</v>
      </c>
      <c r="DT54" s="953">
        <v>45</v>
      </c>
      <c r="DU54" s="204"/>
      <c r="DV54" s="946">
        <v>10</v>
      </c>
      <c r="DW54" s="947">
        <v>21</v>
      </c>
      <c r="DX54" s="128"/>
      <c r="DY54" s="953">
        <v>45</v>
      </c>
      <c r="DZ54" s="997">
        <v>67</v>
      </c>
      <c r="EB54" s="120"/>
      <c r="EC54" s="68"/>
      <c r="ED54" s="459">
        <v>30</v>
      </c>
      <c r="EE54" s="1083" t="s">
        <v>183</v>
      </c>
      <c r="EF54" s="132"/>
      <c r="EG54" s="971">
        <v>0</v>
      </c>
      <c r="EH54" s="971">
        <v>25</v>
      </c>
      <c r="EI54" s="279"/>
      <c r="EJ54" s="971">
        <v>0</v>
      </c>
      <c r="EK54" s="971">
        <v>6.5</v>
      </c>
      <c r="EL54" s="136"/>
      <c r="EM54" s="971">
        <v>0</v>
      </c>
      <c r="EN54" s="1067">
        <v>25</v>
      </c>
      <c r="FA54" s="1365" t="s">
        <v>2002</v>
      </c>
      <c r="FB54" s="1379">
        <v>2.1999999999999999E-2</v>
      </c>
      <c r="FC54" s="1379">
        <v>1.4999999999999999E-2</v>
      </c>
      <c r="FD54" s="1380">
        <v>1.7999999999999999E-2</v>
      </c>
      <c r="FE54" s="1380">
        <v>2.5999999999999999E-2</v>
      </c>
      <c r="FG54" s="1579" t="s">
        <v>1294</v>
      </c>
      <c r="FH54" s="1999">
        <f t="shared" si="11"/>
        <v>0.193</v>
      </c>
      <c r="FI54" s="2001">
        <v>193</v>
      </c>
      <c r="FJ54" s="69"/>
      <c r="FK54" s="1999">
        <f t="shared" si="12"/>
        <v>0.191</v>
      </c>
      <c r="FL54" s="2001">
        <v>191</v>
      </c>
      <c r="FM54" s="69"/>
      <c r="FN54" s="1999">
        <f t="shared" si="13"/>
        <v>0.19900000000000001</v>
      </c>
      <c r="FO54" s="2001">
        <v>199</v>
      </c>
      <c r="FP54" s="69"/>
    </row>
    <row r="55" spans="1:172" ht="12.75" customHeight="1" x14ac:dyDescent="0.2">
      <c r="A55" s="1442" t="s">
        <v>671</v>
      </c>
      <c r="C55" s="1129" t="str">
        <f ca="1">CELL("adresse",Saisies_Exploitation!AL97)</f>
        <v>'[Bilagreau7 exemple.xlsm]Saisies_Exploitation'!$AL$97</v>
      </c>
      <c r="D55" s="1130" t="s">
        <v>1</v>
      </c>
      <c r="E55" s="1131">
        <v>0.65</v>
      </c>
      <c r="F55" s="605"/>
      <c r="G55" s="606"/>
      <c r="AH55" s="1238" t="s">
        <v>152</v>
      </c>
      <c r="AI55" s="605" t="s">
        <v>142</v>
      </c>
      <c r="AJ55" s="934">
        <v>0.2</v>
      </c>
      <c r="AK55" s="934">
        <v>0.85</v>
      </c>
      <c r="AL55" s="936">
        <v>1</v>
      </c>
      <c r="AQ55" t="s">
        <v>33</v>
      </c>
      <c r="AR55" s="1017">
        <v>40</v>
      </c>
      <c r="AS55" s="940">
        <v>0</v>
      </c>
      <c r="AT55" s="940">
        <v>0</v>
      </c>
      <c r="AU55" s="940">
        <v>0</v>
      </c>
      <c r="AV55" s="941">
        <v>0</v>
      </c>
      <c r="AZ55" s="1281"/>
      <c r="BA55" s="1281"/>
      <c r="BB55" s="1281" t="s">
        <v>974</v>
      </c>
      <c r="BD55" s="1107">
        <v>105</v>
      </c>
      <c r="BE55" s="1107">
        <v>1.8</v>
      </c>
      <c r="BF55" s="1107">
        <v>0.65</v>
      </c>
      <c r="BG55" s="1107">
        <v>0.5</v>
      </c>
      <c r="BU55" s="630" t="s">
        <v>528</v>
      </c>
      <c r="BV55" s="1961">
        <f>10*16.9/6.25</f>
        <v>27.04</v>
      </c>
      <c r="BW55" s="1961">
        <f>10*0.57*2.29</f>
        <v>13.052999999999999</v>
      </c>
      <c r="BX55" s="1961">
        <f>10*0.71*1.2</f>
        <v>8.52</v>
      </c>
      <c r="BY55"/>
      <c r="DN55" s="61"/>
      <c r="DO55" s="51"/>
      <c r="DP55" s="51"/>
      <c r="DQ55" s="126">
        <v>7</v>
      </c>
      <c r="DR55" s="261"/>
      <c r="DS55" s="953">
        <v>36</v>
      </c>
      <c r="DT55" s="953">
        <v>51</v>
      </c>
      <c r="DU55" s="204"/>
      <c r="DV55" s="946">
        <v>12</v>
      </c>
      <c r="DW55" s="947">
        <v>21</v>
      </c>
      <c r="DX55" s="128"/>
      <c r="DY55" s="953">
        <v>52</v>
      </c>
      <c r="DZ55" s="997">
        <v>70</v>
      </c>
      <c r="EB55" s="120"/>
      <c r="EC55" s="68"/>
      <c r="ED55" s="1084"/>
      <c r="EE55" s="1085" t="s">
        <v>163</v>
      </c>
      <c r="EF55" s="140"/>
      <c r="EG55" s="141"/>
      <c r="EH55" s="1057">
        <v>54</v>
      </c>
      <c r="EI55" s="661"/>
      <c r="EJ55" s="141"/>
      <c r="EK55" s="1057">
        <v>17</v>
      </c>
      <c r="EL55" s="142"/>
      <c r="EM55" s="141"/>
      <c r="EN55" s="1068">
        <v>64</v>
      </c>
      <c r="FA55" s="32"/>
      <c r="FB55" s="1373"/>
      <c r="FC55" s="1373"/>
      <c r="FD55" s="1373"/>
      <c r="FE55" s="1373"/>
      <c r="FP55" s="69"/>
    </row>
    <row r="56" spans="1:172" ht="12.75" customHeight="1" x14ac:dyDescent="0.2">
      <c r="A56" s="1442" t="s">
        <v>671</v>
      </c>
      <c r="C56" s="1039"/>
      <c r="D56" s="605"/>
      <c r="E56" s="605"/>
      <c r="F56" s="605"/>
      <c r="G56" s="606"/>
      <c r="AH56" s="1238"/>
      <c r="AI56" s="605" t="s">
        <v>143</v>
      </c>
      <c r="AJ56" s="934">
        <v>0.3</v>
      </c>
      <c r="AK56" s="934">
        <v>0.85</v>
      </c>
      <c r="AL56" s="936">
        <v>1</v>
      </c>
      <c r="AZ56" s="1281"/>
      <c r="BA56" s="1281"/>
      <c r="BB56" s="1281" t="s">
        <v>59</v>
      </c>
      <c r="BD56" s="1107">
        <v>88</v>
      </c>
      <c r="BE56" s="1107">
        <v>1.7</v>
      </c>
      <c r="BF56" s="1107">
        <v>0.75</v>
      </c>
      <c r="BG56" s="1107">
        <v>0.45</v>
      </c>
      <c r="BU56" s="630" t="s">
        <v>991</v>
      </c>
      <c r="BV56" s="1961">
        <f>10*16.9/6.25</f>
        <v>27.04</v>
      </c>
      <c r="BW56" s="1961">
        <f>10*0.57*2.29</f>
        <v>13.052999999999999</v>
      </c>
      <c r="BX56" s="1961">
        <f>10*0.71*1.2</f>
        <v>8.52</v>
      </c>
      <c r="BY56"/>
      <c r="DN56" s="61"/>
      <c r="DO56" s="177"/>
      <c r="DP56" s="177"/>
      <c r="DQ56" s="152">
        <v>8</v>
      </c>
      <c r="DR56" s="272"/>
      <c r="DS56" s="955">
        <v>40</v>
      </c>
      <c r="DT56" s="955">
        <v>55</v>
      </c>
      <c r="DU56" s="274"/>
      <c r="DV56" s="948">
        <v>13</v>
      </c>
      <c r="DW56" s="949">
        <v>22</v>
      </c>
      <c r="DX56" s="153"/>
      <c r="DY56" s="955">
        <v>59</v>
      </c>
      <c r="DZ56" s="1000">
        <v>73</v>
      </c>
      <c r="EB56" s="120"/>
      <c r="EC56" s="68"/>
      <c r="ED56" s="366">
        <v>33</v>
      </c>
      <c r="EE56" s="109"/>
      <c r="EF56" s="125"/>
      <c r="EG56" s="938">
        <v>54</v>
      </c>
      <c r="EH56" s="938">
        <v>68</v>
      </c>
      <c r="EI56" s="204"/>
      <c r="EJ56" s="938">
        <v>17</v>
      </c>
      <c r="EK56" s="938">
        <v>25</v>
      </c>
      <c r="EL56" s="128"/>
      <c r="EM56" s="938">
        <v>48</v>
      </c>
      <c r="EN56" s="1066">
        <v>67</v>
      </c>
      <c r="FA56" s="1364" t="s">
        <v>997</v>
      </c>
      <c r="FB56" s="1373"/>
      <c r="FC56" s="1373"/>
      <c r="FD56" s="1373"/>
      <c r="FE56" s="1373"/>
      <c r="FG56" s="676" t="s">
        <v>525</v>
      </c>
      <c r="FH56" s="1999">
        <f t="shared" ref="FH56:FH61" si="14">FI56/1000</f>
        <v>0.20799999999999999</v>
      </c>
      <c r="FI56" s="2001">
        <v>208</v>
      </c>
      <c r="FJ56" s="69"/>
      <c r="FK56" s="1999">
        <f t="shared" ref="FK56:FK61" si="15">FL56/1000</f>
        <v>0.375</v>
      </c>
      <c r="FL56" s="2001">
        <v>375</v>
      </c>
      <c r="FM56" s="69"/>
      <c r="FN56" s="1999">
        <f t="shared" ref="FN56:FN61" si="16">FO56/1000</f>
        <v>0.23499999999999999</v>
      </c>
      <c r="FO56" s="2001">
        <v>235</v>
      </c>
      <c r="FP56" s="69"/>
    </row>
    <row r="57" spans="1:172" ht="12.75" customHeight="1" thickBot="1" x14ac:dyDescent="0.25">
      <c r="A57" s="1442" t="s">
        <v>671</v>
      </c>
      <c r="C57" s="1126"/>
      <c r="D57" s="603"/>
      <c r="E57" s="603" t="s">
        <v>575</v>
      </c>
      <c r="F57" s="603" t="s">
        <v>576</v>
      </c>
      <c r="G57" s="757" t="s">
        <v>577</v>
      </c>
      <c r="K57" s="850" t="s">
        <v>1018</v>
      </c>
      <c r="AH57" s="1238"/>
      <c r="AI57" s="605" t="s">
        <v>144</v>
      </c>
      <c r="AJ57" s="934">
        <v>0.3</v>
      </c>
      <c r="AK57" s="934">
        <v>0.85</v>
      </c>
      <c r="AL57" s="936">
        <v>1</v>
      </c>
      <c r="AR57" s="3260" t="s">
        <v>774</v>
      </c>
      <c r="AS57" s="3261"/>
      <c r="AT57" s="3261"/>
      <c r="AU57" s="3261"/>
      <c r="AV57" s="3262"/>
      <c r="BA57" s="1281"/>
      <c r="BB57" s="1281" t="s">
        <v>215</v>
      </c>
      <c r="BD57" s="1107">
        <v>100</v>
      </c>
      <c r="BE57" s="1107">
        <v>1.6</v>
      </c>
      <c r="BF57" s="1107">
        <v>0.65</v>
      </c>
      <c r="BG57" s="1107">
        <v>0.55000000000000004</v>
      </c>
      <c r="BV57" s="3463" t="s">
        <v>1894</v>
      </c>
      <c r="BW57" s="3463"/>
      <c r="BX57" s="3463"/>
      <c r="BY57"/>
      <c r="DN57" s="61"/>
      <c r="DO57" s="51">
        <v>3</v>
      </c>
      <c r="DP57" s="276" t="s">
        <v>357</v>
      </c>
      <c r="DQ57" s="126" t="s">
        <v>258</v>
      </c>
      <c r="DR57" s="270"/>
      <c r="DS57" s="989">
        <v>0</v>
      </c>
      <c r="DT57" s="989">
        <v>22</v>
      </c>
      <c r="DU57" s="214"/>
      <c r="DV57" s="993">
        <v>0</v>
      </c>
      <c r="DW57" s="952">
        <v>13.5</v>
      </c>
      <c r="DX57" s="215"/>
      <c r="DY57" s="989">
        <v>0</v>
      </c>
      <c r="DZ57" s="999">
        <v>34</v>
      </c>
      <c r="EB57" s="120"/>
      <c r="EC57" s="68"/>
      <c r="ED57" s="459">
        <v>36</v>
      </c>
      <c r="EE57" s="1083"/>
      <c r="EF57" s="146"/>
      <c r="EG57" s="1058">
        <v>48</v>
      </c>
      <c r="EH57" s="1058">
        <v>78</v>
      </c>
      <c r="EI57" s="662"/>
      <c r="EJ57" s="1058">
        <v>16</v>
      </c>
      <c r="EK57" s="1058">
        <v>33</v>
      </c>
      <c r="EL57" s="148"/>
      <c r="EM57" s="1058">
        <v>68</v>
      </c>
      <c r="EN57" s="1069">
        <v>100</v>
      </c>
      <c r="FA57" s="1352" t="s">
        <v>1002</v>
      </c>
      <c r="FB57" s="1371">
        <v>11.8</v>
      </c>
      <c r="FC57" s="1371">
        <v>9.8000000000000007</v>
      </c>
      <c r="FD57" s="1374">
        <f>FD50*FD59/FD52</f>
        <v>10.967948717948717</v>
      </c>
      <c r="FE57" s="1374">
        <f>FE50*FE59/FE52</f>
        <v>10.837004405286343</v>
      </c>
      <c r="FG57" s="676" t="s">
        <v>526</v>
      </c>
      <c r="FH57" s="1999">
        <f t="shared" si="14"/>
        <v>5.0999999999999997E-2</v>
      </c>
      <c r="FI57" s="2001">
        <v>51</v>
      </c>
      <c r="FJ57" s="69"/>
      <c r="FK57" s="1999">
        <f t="shared" si="15"/>
        <v>6.7000000000000004E-2</v>
      </c>
      <c r="FL57" s="2001">
        <v>67</v>
      </c>
      <c r="FM57" s="69"/>
      <c r="FN57" s="1999">
        <f t="shared" si="16"/>
        <v>7.0999999999999994E-2</v>
      </c>
      <c r="FO57" s="2001">
        <v>71</v>
      </c>
      <c r="FP57" s="69"/>
    </row>
    <row r="58" spans="1:172" ht="12.75" customHeight="1" thickTop="1" x14ac:dyDescent="0.2">
      <c r="A58" s="1442" t="s">
        <v>671</v>
      </c>
      <c r="C58" s="1042" t="str">
        <f ca="1">CELL("adresse",Saisies_Exploitation!AL103)</f>
        <v>'[Bilagreau7 exemple.xlsm]Saisies_Exploitation'!$AL$103</v>
      </c>
      <c r="D58" s="821" t="s">
        <v>2</v>
      </c>
      <c r="E58" s="934">
        <v>0.7</v>
      </c>
      <c r="F58" s="934">
        <v>0.75</v>
      </c>
      <c r="G58" s="936">
        <v>0.8</v>
      </c>
      <c r="J58" s="1204" t="str">
        <f>J4</f>
        <v>Production laitière</v>
      </c>
      <c r="K58" s="24">
        <f>K4</f>
        <v>6000</v>
      </c>
      <c r="L58" s="25">
        <f t="shared" ref="L58:S58" si="17">L4</f>
        <v>6000</v>
      </c>
      <c r="M58" s="26">
        <f t="shared" si="17"/>
        <v>6000</v>
      </c>
      <c r="N58" s="24" t="str">
        <f t="shared" si="17"/>
        <v>6000-8000</v>
      </c>
      <c r="O58" s="25" t="str">
        <f t="shared" si="17"/>
        <v>6000-8000</v>
      </c>
      <c r="P58" s="26" t="str">
        <f t="shared" si="17"/>
        <v>6000-8000</v>
      </c>
      <c r="Q58" s="24">
        <f t="shared" si="17"/>
        <v>8000</v>
      </c>
      <c r="R58" s="25">
        <f t="shared" si="17"/>
        <v>8000</v>
      </c>
      <c r="S58" s="26">
        <f t="shared" si="17"/>
        <v>8000</v>
      </c>
      <c r="AH58" s="604"/>
      <c r="AI58" s="605" t="s">
        <v>145</v>
      </c>
      <c r="AJ58" s="934">
        <v>0.15</v>
      </c>
      <c r="AK58" s="934">
        <v>0.85</v>
      </c>
      <c r="AL58" s="936">
        <v>1</v>
      </c>
      <c r="AR58" s="1115" t="s">
        <v>773</v>
      </c>
      <c r="AS58" s="1464" t="s">
        <v>750</v>
      </c>
      <c r="AT58" s="1464" t="s">
        <v>751</v>
      </c>
      <c r="AU58" s="1464" t="s">
        <v>774</v>
      </c>
      <c r="AV58" s="1465" t="s">
        <v>775</v>
      </c>
      <c r="BA58" s="1281"/>
      <c r="BB58" s="1281" t="s">
        <v>213</v>
      </c>
      <c r="BD58" s="1107">
        <v>110</v>
      </c>
      <c r="BE58" s="1107">
        <v>1.5</v>
      </c>
      <c r="BF58" s="1107">
        <v>0.6</v>
      </c>
      <c r="BG58" s="1107">
        <v>0.55000000000000004</v>
      </c>
      <c r="BU58" s="850" t="s">
        <v>443</v>
      </c>
      <c r="BV58" s="1959" t="s">
        <v>625</v>
      </c>
      <c r="BW58" s="1959" t="s">
        <v>187</v>
      </c>
      <c r="BX58" s="1959" t="s">
        <v>665</v>
      </c>
      <c r="BY58"/>
      <c r="DN58" s="61"/>
      <c r="DO58" s="51"/>
      <c r="DP58" s="51"/>
      <c r="DQ58" s="126" t="s">
        <v>358</v>
      </c>
      <c r="DR58" s="261"/>
      <c r="DS58" s="953">
        <v>41</v>
      </c>
      <c r="DT58" s="953">
        <v>41</v>
      </c>
      <c r="DU58" s="204"/>
      <c r="DV58" s="946">
        <v>14</v>
      </c>
      <c r="DW58" s="947">
        <v>14</v>
      </c>
      <c r="DX58" s="128"/>
      <c r="DY58" s="953">
        <v>60</v>
      </c>
      <c r="DZ58" s="997">
        <v>60</v>
      </c>
      <c r="EB58" s="80" t="s">
        <v>351</v>
      </c>
      <c r="EC58" s="81">
        <v>2</v>
      </c>
      <c r="ED58" s="1086"/>
      <c r="EE58" s="1076"/>
      <c r="EF58" s="150"/>
      <c r="EG58" s="940">
        <v>31</v>
      </c>
      <c r="EH58" s="940">
        <v>49</v>
      </c>
      <c r="EI58" s="274"/>
      <c r="EJ58" s="940">
        <v>10</v>
      </c>
      <c r="EK58" s="940">
        <v>15</v>
      </c>
      <c r="EL58" s="153"/>
      <c r="EM58" s="940">
        <v>52</v>
      </c>
      <c r="EN58" s="1070">
        <v>70</v>
      </c>
      <c r="FA58" s="1352" t="s">
        <v>1003</v>
      </c>
      <c r="FB58" s="1371">
        <v>0.17</v>
      </c>
      <c r="FC58" s="1371">
        <v>0.15</v>
      </c>
      <c r="FD58" s="1371">
        <v>0.23</v>
      </c>
      <c r="FE58" s="1371">
        <v>0.32</v>
      </c>
      <c r="FG58" s="676" t="s">
        <v>527</v>
      </c>
      <c r="FH58" s="1999">
        <f t="shared" si="14"/>
        <v>4.2000000000000003E-2</v>
      </c>
      <c r="FI58" s="2001">
        <v>42</v>
      </c>
      <c r="FJ58" s="69"/>
      <c r="FK58" s="1999">
        <f t="shared" si="15"/>
        <v>3.5000000000000003E-2</v>
      </c>
      <c r="FL58" s="2001">
        <v>35</v>
      </c>
      <c r="FM58" s="69"/>
      <c r="FN58" s="1999">
        <f t="shared" si="16"/>
        <v>4.2999999999999997E-2</v>
      </c>
      <c r="FO58" s="2001">
        <v>43</v>
      </c>
    </row>
    <row r="59" spans="1:172" ht="12.75" customHeight="1" x14ac:dyDescent="0.2">
      <c r="A59" s="1442" t="s">
        <v>671</v>
      </c>
      <c r="C59" s="1127"/>
      <c r="D59" s="605"/>
      <c r="E59" s="605"/>
      <c r="F59" s="605"/>
      <c r="G59" s="606"/>
      <c r="J59" s="1204" t="str">
        <f>J5</f>
        <v>Durée pâturage</v>
      </c>
      <c r="K59" s="27">
        <f t="shared" ref="K59:S59" si="18">K5</f>
        <v>4</v>
      </c>
      <c r="L59" s="28" t="str">
        <f t="shared" si="18"/>
        <v>4-7</v>
      </c>
      <c r="M59" s="29">
        <f t="shared" si="18"/>
        <v>7</v>
      </c>
      <c r="N59" s="28">
        <f t="shared" si="18"/>
        <v>4</v>
      </c>
      <c r="O59" s="28" t="str">
        <f t="shared" si="18"/>
        <v>4-7</v>
      </c>
      <c r="P59" s="28">
        <f t="shared" si="18"/>
        <v>7</v>
      </c>
      <c r="Q59" s="27">
        <f t="shared" si="18"/>
        <v>4</v>
      </c>
      <c r="R59" s="28" t="str">
        <f t="shared" si="18"/>
        <v>4-7</v>
      </c>
      <c r="S59" s="29">
        <f t="shared" si="18"/>
        <v>7</v>
      </c>
      <c r="AH59" s="604"/>
      <c r="AI59" s="605" t="s">
        <v>146</v>
      </c>
      <c r="AJ59" s="934">
        <v>0.2</v>
      </c>
      <c r="AK59" s="934">
        <v>0.85</v>
      </c>
      <c r="AL59" s="936">
        <v>1</v>
      </c>
      <c r="AR59" s="1017">
        <v>100</v>
      </c>
      <c r="AS59" s="940">
        <v>25</v>
      </c>
      <c r="AT59" s="940">
        <v>0</v>
      </c>
      <c r="AU59" s="940">
        <v>0</v>
      </c>
      <c r="AV59" s="941">
        <v>0</v>
      </c>
      <c r="BA59" s="1281"/>
      <c r="BB59" s="1281" t="s">
        <v>60</v>
      </c>
      <c r="BD59" s="1107">
        <v>102</v>
      </c>
      <c r="BE59" s="1107">
        <v>1.6</v>
      </c>
      <c r="BF59" s="1107">
        <v>0.7</v>
      </c>
      <c r="BG59" s="1107">
        <v>0.35</v>
      </c>
      <c r="BU59" s="630" t="s">
        <v>1874</v>
      </c>
      <c r="BV59" s="1963">
        <f>10*17/6.25</f>
        <v>27.2</v>
      </c>
      <c r="BW59" s="1961">
        <v>12.6</v>
      </c>
      <c r="BX59" s="1963">
        <v>10</v>
      </c>
      <c r="BY59"/>
      <c r="DN59" s="61"/>
      <c r="DO59" s="51"/>
      <c r="DP59" s="130">
        <v>36</v>
      </c>
      <c r="DQ59" s="134">
        <v>5</v>
      </c>
      <c r="DR59" s="277"/>
      <c r="DS59" s="957">
        <v>34</v>
      </c>
      <c r="DT59" s="957">
        <v>57</v>
      </c>
      <c r="DU59" s="279"/>
      <c r="DV59" s="961">
        <v>11</v>
      </c>
      <c r="DW59" s="994">
        <v>27</v>
      </c>
      <c r="DX59" s="136"/>
      <c r="DY59" s="957">
        <v>49</v>
      </c>
      <c r="DZ59" s="1001">
        <v>84</v>
      </c>
      <c r="EB59" s="61"/>
      <c r="EC59" s="51">
        <v>3</v>
      </c>
      <c r="ED59" s="366">
        <v>30</v>
      </c>
      <c r="EE59" s="109" t="s">
        <v>183</v>
      </c>
      <c r="EF59" s="125"/>
      <c r="EG59" s="938">
        <v>0</v>
      </c>
      <c r="EH59" s="938">
        <v>24</v>
      </c>
      <c r="EI59" s="204"/>
      <c r="EJ59" s="938">
        <v>0</v>
      </c>
      <c r="EK59" s="938">
        <v>7</v>
      </c>
      <c r="EL59" s="128"/>
      <c r="EM59" s="938">
        <v>0</v>
      </c>
      <c r="EN59" s="1066">
        <v>26</v>
      </c>
      <c r="FA59" s="1352" t="s">
        <v>1004</v>
      </c>
      <c r="FB59" s="1371">
        <v>1.1100000000000001</v>
      </c>
      <c r="FC59" s="1371">
        <v>0.99</v>
      </c>
      <c r="FD59" s="1371">
        <v>1.45</v>
      </c>
      <c r="FE59" s="1371">
        <v>1.64</v>
      </c>
      <c r="FG59" s="676" t="s">
        <v>528</v>
      </c>
      <c r="FH59" s="1999">
        <f t="shared" si="14"/>
        <v>6.8000000000000005E-2</v>
      </c>
      <c r="FI59" s="2001">
        <v>68</v>
      </c>
      <c r="FJ59" s="69"/>
      <c r="FK59" s="1999">
        <f t="shared" si="15"/>
        <v>7.2999999999999995E-2</v>
      </c>
      <c r="FL59" s="2001">
        <v>73</v>
      </c>
      <c r="FM59" s="69"/>
      <c r="FN59" s="1999">
        <f t="shared" si="16"/>
        <v>6.2E-2</v>
      </c>
      <c r="FO59" s="2001">
        <v>62</v>
      </c>
    </row>
    <row r="60" spans="1:172" ht="12.75" customHeight="1" x14ac:dyDescent="0.2">
      <c r="A60" s="1442" t="s">
        <v>671</v>
      </c>
      <c r="C60" s="1042" t="str">
        <f ca="1">CELL("adresse",Saisies_Exploitation!AL107)</f>
        <v>'[Bilagreau7 exemple.xlsm]Saisies_Exploitation'!$AL$107</v>
      </c>
      <c r="D60" s="821" t="s">
        <v>3</v>
      </c>
      <c r="E60" s="2003">
        <f>E62/2</f>
        <v>0.4</v>
      </c>
      <c r="F60" s="2003">
        <f>F62/2</f>
        <v>0.4</v>
      </c>
      <c r="G60" s="2003">
        <f>G62/2</f>
        <v>0.42499999999999999</v>
      </c>
      <c r="I60" s="1041" t="str">
        <f>I6</f>
        <v>Troupeau laitier</v>
      </c>
      <c r="J60" s="1111"/>
      <c r="K60" s="1041"/>
      <c r="L60" s="1111"/>
      <c r="M60" s="1111"/>
      <c r="N60" s="1041"/>
      <c r="O60" s="1111"/>
      <c r="P60" s="1113"/>
      <c r="Q60" s="1111"/>
      <c r="R60" s="1111"/>
      <c r="S60" s="1113"/>
      <c r="AH60" s="604"/>
      <c r="AI60" s="605" t="s">
        <v>147</v>
      </c>
      <c r="AJ60" s="934">
        <v>0.3</v>
      </c>
      <c r="AK60" s="934">
        <v>0.85</v>
      </c>
      <c r="AL60" s="936">
        <v>1</v>
      </c>
      <c r="BU60" s="630" t="s">
        <v>1875</v>
      </c>
      <c r="BV60" s="1963">
        <f>10*16.5/6.25</f>
        <v>26.4</v>
      </c>
      <c r="BW60" s="1961">
        <v>12.6</v>
      </c>
      <c r="BX60" s="1963">
        <v>10</v>
      </c>
      <c r="BY60"/>
      <c r="DN60" s="61"/>
      <c r="DO60" s="51"/>
      <c r="DP60" s="51"/>
      <c r="DQ60" s="126">
        <v>6</v>
      </c>
      <c r="DR60" s="261"/>
      <c r="DS60" s="953">
        <v>42</v>
      </c>
      <c r="DT60" s="953">
        <v>61</v>
      </c>
      <c r="DU60" s="204"/>
      <c r="DV60" s="946">
        <v>14</v>
      </c>
      <c r="DW60" s="947">
        <v>27</v>
      </c>
      <c r="DX60" s="128"/>
      <c r="DY60" s="953">
        <v>59</v>
      </c>
      <c r="DZ60" s="997">
        <v>89</v>
      </c>
      <c r="EB60" s="61"/>
      <c r="EC60" s="51"/>
      <c r="ED60" s="366"/>
      <c r="EE60" s="109" t="s">
        <v>163</v>
      </c>
      <c r="EF60" s="125"/>
      <c r="EG60" s="68"/>
      <c r="EH60" s="938">
        <v>48</v>
      </c>
      <c r="EI60" s="204"/>
      <c r="EJ60" s="68"/>
      <c r="EK60" s="938">
        <v>16</v>
      </c>
      <c r="EL60" s="128"/>
      <c r="EM60" s="68"/>
      <c r="EN60" s="1066">
        <v>55</v>
      </c>
      <c r="FA60" s="1352" t="s">
        <v>1005</v>
      </c>
      <c r="FB60" s="1371">
        <v>1.46</v>
      </c>
      <c r="FC60" s="1371">
        <v>1.31</v>
      </c>
      <c r="FD60" s="1371">
        <v>1.9</v>
      </c>
      <c r="FE60" s="1371">
        <v>2.52</v>
      </c>
      <c r="FG60" s="676" t="s">
        <v>991</v>
      </c>
      <c r="FH60" s="1999">
        <f t="shared" si="14"/>
        <v>6.2E-2</v>
      </c>
      <c r="FI60" s="2001">
        <v>62</v>
      </c>
      <c r="FJ60" s="235"/>
      <c r="FK60" s="1999">
        <f t="shared" si="15"/>
        <v>7.0000000000000007E-2</v>
      </c>
      <c r="FL60" s="2001">
        <v>70</v>
      </c>
      <c r="FN60" s="1999">
        <f t="shared" si="16"/>
        <v>5.8000000000000003E-2</v>
      </c>
      <c r="FO60" s="2001">
        <v>58</v>
      </c>
    </row>
    <row r="61" spans="1:172" ht="12.75" customHeight="1" thickBot="1" x14ac:dyDescent="0.25">
      <c r="A61" s="1442" t="s">
        <v>671</v>
      </c>
      <c r="C61" s="1042" t="str">
        <f ca="1">CELL("adresse",Saisies_Exploitation!AL108)</f>
        <v>'[Bilagreau7 exemple.xlsm]Saisies_Exploitation'!$AL$108</v>
      </c>
      <c r="D61" s="821" t="s">
        <v>4</v>
      </c>
      <c r="E61" s="2003">
        <f>E62*3/4</f>
        <v>0.60000000000000009</v>
      </c>
      <c r="F61" s="2003">
        <f>F62*3/4</f>
        <v>0.60000000000000009</v>
      </c>
      <c r="G61" s="2003">
        <f>G62*3/4</f>
        <v>0.63749999999999996</v>
      </c>
      <c r="I61" s="814"/>
      <c r="J61" s="831" t="str">
        <f t="shared" ref="I61:J80" si="19">J7</f>
        <v>● vaches en production</v>
      </c>
      <c r="K61" s="1415">
        <v>112</v>
      </c>
      <c r="L61" s="1212">
        <v>125</v>
      </c>
      <c r="M61" s="1212">
        <v>130</v>
      </c>
      <c r="N61" s="1415">
        <v>120</v>
      </c>
      <c r="O61" s="1212">
        <v>130</v>
      </c>
      <c r="P61" s="1316">
        <v>135</v>
      </c>
      <c r="Q61" s="1212">
        <v>124</v>
      </c>
      <c r="R61" s="1212">
        <v>135</v>
      </c>
      <c r="S61" s="1316">
        <v>140</v>
      </c>
      <c r="AH61" s="604"/>
      <c r="AI61" s="605" t="s">
        <v>148</v>
      </c>
      <c r="AJ61" s="934">
        <v>0.5</v>
      </c>
      <c r="AK61" s="934">
        <v>0.85</v>
      </c>
      <c r="AL61" s="936">
        <v>1</v>
      </c>
      <c r="AR61" s="3260" t="s">
        <v>775</v>
      </c>
      <c r="AS61" s="3261"/>
      <c r="AT61" s="3261"/>
      <c r="AU61" s="3261"/>
      <c r="AV61" s="3262"/>
      <c r="BU61" s="630" t="s">
        <v>1876</v>
      </c>
      <c r="BV61" s="1963">
        <f>10*16/6.25</f>
        <v>25.6</v>
      </c>
      <c r="BW61" s="1961">
        <v>12.6</v>
      </c>
      <c r="BX61" s="1963">
        <v>10</v>
      </c>
      <c r="BY61"/>
      <c r="DN61" s="61"/>
      <c r="DO61" s="51"/>
      <c r="DP61" s="51"/>
      <c r="DQ61" s="126">
        <v>7</v>
      </c>
      <c r="DR61" s="261"/>
      <c r="DS61" s="953">
        <v>47</v>
      </c>
      <c r="DT61" s="953">
        <v>63</v>
      </c>
      <c r="DU61" s="204"/>
      <c r="DV61" s="946">
        <v>15</v>
      </c>
      <c r="DW61" s="947">
        <v>27</v>
      </c>
      <c r="DX61" s="128"/>
      <c r="DY61" s="953">
        <v>69</v>
      </c>
      <c r="DZ61" s="997">
        <v>94</v>
      </c>
      <c r="EB61" s="61"/>
      <c r="EC61" s="51"/>
      <c r="ED61" s="459">
        <v>33</v>
      </c>
      <c r="EE61" s="1083"/>
      <c r="EF61" s="132"/>
      <c r="EG61" s="971">
        <v>42</v>
      </c>
      <c r="EH61" s="971">
        <v>55</v>
      </c>
      <c r="EI61" s="279"/>
      <c r="EJ61" s="971">
        <v>13.5</v>
      </c>
      <c r="EK61" s="971">
        <v>17</v>
      </c>
      <c r="EL61" s="136"/>
      <c r="EM61" s="971">
        <v>45</v>
      </c>
      <c r="EN61" s="1067">
        <v>63</v>
      </c>
      <c r="FA61" s="1365" t="s">
        <v>2002</v>
      </c>
      <c r="FB61" s="1379">
        <v>1.2999999999999999E-2</v>
      </c>
      <c r="FC61" s="1379">
        <v>1.0999999999999999E-2</v>
      </c>
      <c r="FD61" s="1380">
        <v>1.7000000000000001E-2</v>
      </c>
      <c r="FE61" s="1380">
        <v>1.9E-2</v>
      </c>
      <c r="FG61" s="680" t="s">
        <v>1992</v>
      </c>
      <c r="FH61" s="2000">
        <f t="shared" si="14"/>
        <v>0.123</v>
      </c>
      <c r="FI61" s="2002">
        <v>123</v>
      </c>
      <c r="FJ61" s="77"/>
      <c r="FK61" s="2000">
        <f t="shared" si="15"/>
        <v>0.14000000000000001</v>
      </c>
      <c r="FL61" s="2002">
        <v>140</v>
      </c>
      <c r="FM61" s="77"/>
      <c r="FN61" s="2000">
        <f t="shared" si="16"/>
        <v>0.12</v>
      </c>
      <c r="FO61" s="2002">
        <v>120</v>
      </c>
      <c r="FP61" s="77"/>
    </row>
    <row r="62" spans="1:172" ht="14.25" thickTop="1" thickBot="1" x14ac:dyDescent="0.25">
      <c r="A62" s="1442" t="s">
        <v>671</v>
      </c>
      <c r="C62" s="1128" t="str">
        <f ca="1">CELL("adresse",Saisies_Exploitation!AL109)</f>
        <v>'[Bilagreau7 exemple.xlsm]Saisies_Exploitation'!$AL$109</v>
      </c>
      <c r="D62" s="822" t="s">
        <v>5</v>
      </c>
      <c r="E62" s="935">
        <v>0.8</v>
      </c>
      <c r="F62" s="935">
        <v>0.8</v>
      </c>
      <c r="G62" s="937">
        <v>0.85</v>
      </c>
      <c r="I62" s="1041"/>
      <c r="J62" s="1111" t="str">
        <f t="shared" si="19"/>
        <v>● génisses (0-12 mois; année 1)</v>
      </c>
      <c r="K62" s="1416">
        <v>34</v>
      </c>
      <c r="L62"/>
      <c r="M62"/>
      <c r="N62"/>
      <c r="O62"/>
      <c r="P62"/>
      <c r="Q62"/>
      <c r="R62"/>
      <c r="S62"/>
      <c r="AH62" s="604"/>
      <c r="AI62" s="605" t="s">
        <v>149</v>
      </c>
      <c r="AJ62" s="934">
        <v>0.6</v>
      </c>
      <c r="AK62" s="934">
        <v>0.85</v>
      </c>
      <c r="AL62" s="936">
        <v>1</v>
      </c>
      <c r="AR62" s="1115" t="s">
        <v>773</v>
      </c>
      <c r="AS62" s="1464" t="s">
        <v>750</v>
      </c>
      <c r="AT62" s="1464" t="s">
        <v>751</v>
      </c>
      <c r="AU62" s="1464" t="s">
        <v>774</v>
      </c>
      <c r="AV62" s="1465" t="s">
        <v>775</v>
      </c>
      <c r="AZ62" s="1317" t="str">
        <f ca="1">CELL("adresse",Autonomie!$AA$59)</f>
        <v>'[Bilagreau7 exemple.xlsm]Autonomie'!$AA$59</v>
      </c>
      <c r="BA62" s="1317"/>
      <c r="BB62" s="1317"/>
      <c r="BC62" s="1317"/>
      <c r="BD62" s="1317"/>
      <c r="BE62" s="1317"/>
      <c r="BF62" s="1317"/>
      <c r="BG62" s="1690"/>
      <c r="BU62" s="630" t="s">
        <v>1877</v>
      </c>
      <c r="BV62" s="1963">
        <f>10*15.5/6.25</f>
        <v>24.8</v>
      </c>
      <c r="BW62" s="1961">
        <v>12.6</v>
      </c>
      <c r="BX62" s="1963">
        <v>10</v>
      </c>
      <c r="BY62"/>
      <c r="DN62" s="72"/>
      <c r="DO62" s="76"/>
      <c r="DP62" s="76"/>
      <c r="DQ62" s="281">
        <v>8</v>
      </c>
      <c r="DR62" s="263"/>
      <c r="DS62" s="958">
        <v>54</v>
      </c>
      <c r="DT62" s="958">
        <v>67</v>
      </c>
      <c r="DU62" s="206"/>
      <c r="DV62" s="962">
        <v>18</v>
      </c>
      <c r="DW62" s="995">
        <v>28</v>
      </c>
      <c r="DX62" s="207"/>
      <c r="DY62" s="958">
        <v>79</v>
      </c>
      <c r="DZ62" s="1002">
        <v>99</v>
      </c>
      <c r="EB62" s="61"/>
      <c r="EC62" s="51"/>
      <c r="ED62" s="459">
        <v>36</v>
      </c>
      <c r="EE62" s="1083"/>
      <c r="EF62" s="132"/>
      <c r="EG62" s="971">
        <v>49</v>
      </c>
      <c r="EH62" s="971">
        <v>72</v>
      </c>
      <c r="EI62" s="279"/>
      <c r="EJ62" s="971">
        <v>16</v>
      </c>
      <c r="EK62" s="971">
        <v>28</v>
      </c>
      <c r="EL62" s="136"/>
      <c r="EM62" s="971">
        <v>65</v>
      </c>
      <c r="EN62" s="1067">
        <v>92</v>
      </c>
    </row>
    <row r="63" spans="1:172" ht="13.5" thickTop="1" x14ac:dyDescent="0.2">
      <c r="A63" s="1442" t="s">
        <v>671</v>
      </c>
      <c r="C63" s="1039"/>
      <c r="D63" s="605"/>
      <c r="E63" s="605"/>
      <c r="F63" s="605"/>
      <c r="G63" s="606"/>
      <c r="I63" s="811"/>
      <c r="J63" s="613" t="str">
        <f t="shared" si="19"/>
        <v>● génisses (13-24 mois; année 2)</v>
      </c>
      <c r="K63" s="1417">
        <v>65</v>
      </c>
      <c r="L63"/>
      <c r="M63"/>
      <c r="N63"/>
      <c r="O63"/>
      <c r="P63"/>
      <c r="Q63"/>
      <c r="R63"/>
      <c r="S63"/>
      <c r="AH63" s="604"/>
      <c r="AI63" s="605" t="s">
        <v>150</v>
      </c>
      <c r="AJ63" s="934">
        <v>0.65</v>
      </c>
      <c r="AK63" s="934">
        <v>0.85</v>
      </c>
      <c r="AL63" s="936">
        <v>1</v>
      </c>
      <c r="AR63" s="1017">
        <v>120</v>
      </c>
      <c r="AS63" s="940">
        <v>30</v>
      </c>
      <c r="AT63" s="940">
        <v>0</v>
      </c>
      <c r="AU63" s="940">
        <v>0</v>
      </c>
      <c r="AV63" s="941">
        <v>0</v>
      </c>
      <c r="AZ63" s="1554" t="s">
        <v>1553</v>
      </c>
      <c r="BA63" s="841"/>
      <c r="BB63" s="841"/>
      <c r="BC63" s="841"/>
      <c r="BD63" s="841"/>
      <c r="BE63" s="841"/>
      <c r="BF63" s="1518" t="s">
        <v>1263</v>
      </c>
      <c r="BG63" s="1691"/>
      <c r="BU63" s="630" t="s">
        <v>1878</v>
      </c>
      <c r="BV63" s="1963">
        <f>10*15/6.25</f>
        <v>24</v>
      </c>
      <c r="BW63" s="1961">
        <v>12.6</v>
      </c>
      <c r="BX63" s="1963">
        <v>10</v>
      </c>
      <c r="BY63"/>
      <c r="EB63" s="80"/>
      <c r="EC63" s="440"/>
      <c r="ED63" s="517"/>
      <c r="EE63" s="1080"/>
      <c r="EF63" s="1074"/>
      <c r="EG63" s="1074"/>
      <c r="EH63" s="1074"/>
      <c r="EI63" s="1073"/>
      <c r="EJ63" s="1074"/>
      <c r="EK63" s="1074"/>
      <c r="EL63" s="1074"/>
      <c r="EM63" s="1074"/>
      <c r="EN63" s="1076"/>
    </row>
    <row r="64" spans="1:172" ht="13.5" thickBot="1" x14ac:dyDescent="0.25">
      <c r="A64" s="1442" t="s">
        <v>671</v>
      </c>
      <c r="C64" s="1039"/>
      <c r="D64" s="605"/>
      <c r="E64" s="605"/>
      <c r="F64" s="605"/>
      <c r="G64" s="606"/>
      <c r="I64" s="811"/>
      <c r="J64" s="613" t="str">
        <f t="shared" si="19"/>
        <v>● génisses (25-36 mois; année 3)</v>
      </c>
      <c r="K64" s="1417">
        <v>84</v>
      </c>
      <c r="L64"/>
      <c r="M64"/>
      <c r="N64"/>
      <c r="O64"/>
      <c r="P64"/>
      <c r="Q64"/>
      <c r="R64"/>
      <c r="S64"/>
      <c r="AH64" s="604"/>
      <c r="AI64" s="613" t="s">
        <v>719</v>
      </c>
      <c r="AJ64" s="934">
        <v>0.3</v>
      </c>
      <c r="AK64" s="934">
        <v>0.85</v>
      </c>
      <c r="AL64" s="936">
        <v>1</v>
      </c>
      <c r="BB64" t="s">
        <v>452</v>
      </c>
      <c r="BD64" s="576" t="s">
        <v>539</v>
      </c>
      <c r="BE64" s="576" t="s">
        <v>541</v>
      </c>
      <c r="BF64" s="1518" t="s">
        <v>1264</v>
      </c>
      <c r="BG64" s="1691"/>
      <c r="BU64" s="630" t="s">
        <v>1879</v>
      </c>
      <c r="BV64" s="1963">
        <f>10*14.5/6.25</f>
        <v>23.2</v>
      </c>
      <c r="BW64" s="1961">
        <v>12.6</v>
      </c>
      <c r="BX64" s="1963">
        <v>10</v>
      </c>
      <c r="BY64"/>
      <c r="DN64" s="3486" t="str">
        <f ca="1">CELL("adresse",Allaitant!A82)</f>
        <v>'[Bilagreau7 exemple.xlsm]Allaitant'!$A$82</v>
      </c>
      <c r="DO64" s="3486"/>
      <c r="DP64" s="3486"/>
      <c r="DQ64" s="3486"/>
      <c r="DR64" s="3486"/>
      <c r="DS64" s="3486"/>
      <c r="DT64" s="3486"/>
      <c r="DU64" s="3486"/>
      <c r="DV64" s="3486"/>
      <c r="DW64" s="3486"/>
      <c r="DX64" s="3486"/>
      <c r="DY64" s="3486"/>
      <c r="DZ64" s="3486"/>
      <c r="EB64" s="72"/>
      <c r="EC64" s="574"/>
      <c r="ED64" s="1081"/>
      <c r="EE64" s="1082"/>
      <c r="EF64" s="463"/>
      <c r="EG64" s="463"/>
      <c r="EH64" s="463"/>
      <c r="EI64" s="683"/>
      <c r="EJ64" s="463"/>
      <c r="EK64" s="463"/>
      <c r="EL64" s="463"/>
      <c r="EM64" s="463"/>
      <c r="EN64" s="685"/>
    </row>
    <row r="65" spans="1:144" ht="14.25" thickTop="1" thickBot="1" x14ac:dyDescent="0.25">
      <c r="A65" s="1442" t="s">
        <v>671</v>
      </c>
      <c r="C65" s="1119" t="str">
        <f ca="1">CELL("adresse",Saisies_Exploitation!AL117)</f>
        <v>'[Bilagreau7 exemple.xlsm]Saisies_Exploitation'!$AL$117</v>
      </c>
      <c r="D65" s="820" t="s">
        <v>6</v>
      </c>
      <c r="E65" s="933">
        <v>1</v>
      </c>
      <c r="F65" s="604"/>
      <c r="G65" s="605"/>
      <c r="I65" s="811" t="str">
        <f t="shared" si="19"/>
        <v>Troupeau allaitant</v>
      </c>
      <c r="J65" s="613"/>
      <c r="K65" s="1418"/>
      <c r="L65"/>
      <c r="M65"/>
      <c r="N65"/>
      <c r="O65"/>
      <c r="P65"/>
      <c r="Q65"/>
      <c r="R65"/>
      <c r="S65"/>
      <c r="AH65" s="604"/>
      <c r="AI65" s="1686" t="s">
        <v>720</v>
      </c>
      <c r="AJ65" s="934">
        <v>0.3</v>
      </c>
      <c r="AK65" s="934">
        <v>0.85</v>
      </c>
      <c r="AL65" s="936">
        <v>1</v>
      </c>
      <c r="AR65" s="3260" t="s">
        <v>777</v>
      </c>
      <c r="AS65" s="3261"/>
      <c r="AT65" s="3261"/>
      <c r="AU65" s="3261"/>
      <c r="AV65" s="3262"/>
      <c r="BB65" t="s">
        <v>538</v>
      </c>
      <c r="BC65" s="1310">
        <v>570</v>
      </c>
      <c r="BD65" s="1310">
        <v>0.55400000000000005</v>
      </c>
      <c r="BE65" s="1310">
        <v>3.57</v>
      </c>
      <c r="BF65" s="1310">
        <v>-1.04</v>
      </c>
      <c r="BG65" s="189"/>
      <c r="BV65" s="3463" t="s">
        <v>1894</v>
      </c>
      <c r="BW65" s="3463"/>
      <c r="BX65" s="3463"/>
      <c r="BY65"/>
      <c r="DQ65" s="841" t="s">
        <v>364</v>
      </c>
      <c r="DR65" s="841"/>
      <c r="DS65" s="841"/>
      <c r="DT65" s="841"/>
      <c r="DU65" s="841"/>
      <c r="DV65" s="841"/>
      <c r="DW65" s="841"/>
      <c r="DX65" s="841"/>
      <c r="DY65" s="841"/>
      <c r="EB65" s="89" t="s">
        <v>501</v>
      </c>
      <c r="EC65" s="90" t="s">
        <v>383</v>
      </c>
      <c r="ED65" s="90"/>
      <c r="EE65" s="155" t="s">
        <v>183</v>
      </c>
      <c r="EF65" s="156"/>
      <c r="EG65" s="1060">
        <v>0</v>
      </c>
      <c r="EH65" s="1060">
        <v>34</v>
      </c>
      <c r="EI65" s="218"/>
      <c r="EJ65" s="1060">
        <v>0</v>
      </c>
      <c r="EK65" s="1060">
        <v>18</v>
      </c>
      <c r="EL65" s="156"/>
      <c r="EM65" s="1060">
        <v>0</v>
      </c>
      <c r="EN65" s="1063">
        <v>36</v>
      </c>
    </row>
    <row r="66" spans="1:144" ht="13.5" thickTop="1" x14ac:dyDescent="0.2">
      <c r="A66" s="1442" t="s">
        <v>671</v>
      </c>
      <c r="C66" s="1128" t="str">
        <f ca="1">CELL("adresse",Saisies_Exploitation!AL118)</f>
        <v>'[Bilagreau7 exemple.xlsm]Saisies_Exploitation'!$AL$118</v>
      </c>
      <c r="D66" s="822" t="s">
        <v>7</v>
      </c>
      <c r="E66" s="935">
        <v>1</v>
      </c>
      <c r="F66" s="604"/>
      <c r="G66" s="605"/>
      <c r="I66" s="811"/>
      <c r="J66" s="613" t="str">
        <f t="shared" si="19"/>
        <v>● vaches allaitantes</v>
      </c>
      <c r="K66" s="1417">
        <v>113</v>
      </c>
      <c r="L66"/>
      <c r="M66"/>
      <c r="N66"/>
      <c r="O66"/>
      <c r="P66"/>
      <c r="Q66"/>
      <c r="R66"/>
      <c r="S66"/>
      <c r="AH66" s="604"/>
      <c r="AI66" s="2915" t="s">
        <v>2369</v>
      </c>
      <c r="AJ66" s="934">
        <v>0.7</v>
      </c>
      <c r="AK66" s="934">
        <v>0.8</v>
      </c>
      <c r="AL66" s="936">
        <v>1</v>
      </c>
      <c r="AR66" s="1115" t="s">
        <v>773</v>
      </c>
      <c r="AS66" s="1464" t="s">
        <v>750</v>
      </c>
      <c r="AT66" s="1464" t="s">
        <v>751</v>
      </c>
      <c r="AU66" s="1464" t="s">
        <v>774</v>
      </c>
      <c r="AV66" s="1465" t="s">
        <v>775</v>
      </c>
      <c r="BB66" t="s">
        <v>219</v>
      </c>
      <c r="BC66" s="1310">
        <v>711</v>
      </c>
      <c r="BD66" s="1310">
        <v>0.45</v>
      </c>
      <c r="BE66" s="1310">
        <v>2.19</v>
      </c>
      <c r="BF66" s="576"/>
      <c r="BG66" s="189"/>
      <c r="BU66" s="850" t="s">
        <v>1893</v>
      </c>
      <c r="BV66" s="1959" t="s">
        <v>625</v>
      </c>
      <c r="BW66" s="1959" t="s">
        <v>187</v>
      </c>
      <c r="BX66" s="1959" t="s">
        <v>665</v>
      </c>
      <c r="BY66"/>
      <c r="DN66" s="32"/>
      <c r="DO66" s="32"/>
      <c r="DP66" s="32"/>
      <c r="DQ66" s="32"/>
      <c r="DR66" s="3450" t="s">
        <v>365</v>
      </c>
      <c r="DS66" s="3451"/>
      <c r="DT66" s="3451"/>
      <c r="DU66" s="3451"/>
      <c r="DV66" s="3451"/>
      <c r="DW66" s="3451"/>
      <c r="DX66" s="3451"/>
      <c r="DY66" s="3451"/>
      <c r="DZ66" s="3454"/>
    </row>
    <row r="67" spans="1:144" ht="13.5" thickBot="1" x14ac:dyDescent="0.25">
      <c r="A67" s="1442" t="s">
        <v>671</v>
      </c>
      <c r="C67" s="605"/>
      <c r="I67" s="811"/>
      <c r="J67" s="613" t="str">
        <f t="shared" si="19"/>
        <v>● toutes génisses d'élevage (année 1)</v>
      </c>
      <c r="K67" s="1417">
        <v>34</v>
      </c>
      <c r="L67"/>
      <c r="M67"/>
      <c r="N67"/>
      <c r="O67"/>
      <c r="P67"/>
      <c r="Q67"/>
      <c r="R67"/>
      <c r="S67"/>
      <c r="AH67" s="604"/>
      <c r="AI67" s="2914" t="s">
        <v>2370</v>
      </c>
      <c r="AJ67" s="934">
        <v>0.7</v>
      </c>
      <c r="AK67" s="934">
        <v>0.8</v>
      </c>
      <c r="AL67" s="936">
        <v>1</v>
      </c>
      <c r="AR67" s="1017">
        <v>140</v>
      </c>
      <c r="AS67" s="940">
        <v>40</v>
      </c>
      <c r="AT67" s="940">
        <v>0</v>
      </c>
      <c r="AU67" s="940">
        <v>0</v>
      </c>
      <c r="AV67" s="941">
        <v>0</v>
      </c>
      <c r="BB67" t="s">
        <v>625</v>
      </c>
      <c r="BC67" s="576"/>
      <c r="BD67" s="1310">
        <v>1.6E-2</v>
      </c>
      <c r="BE67" s="1310">
        <v>4.7449999999999999E-2</v>
      </c>
      <c r="BF67" s="576"/>
      <c r="BG67" s="189"/>
      <c r="BU67" s="1514" t="s">
        <v>1885</v>
      </c>
      <c r="BV67" s="1963">
        <f>10*15/6.25</f>
        <v>24</v>
      </c>
      <c r="BW67" s="1961">
        <v>16</v>
      </c>
      <c r="BX67" s="1963">
        <v>2.5</v>
      </c>
      <c r="BY67"/>
      <c r="DN67" s="32"/>
      <c r="DO67" s="32"/>
      <c r="DP67" s="32"/>
      <c r="DQ67" s="32"/>
      <c r="DR67" s="3441" t="s">
        <v>256</v>
      </c>
      <c r="DS67" s="3430"/>
      <c r="DT67" s="3431"/>
      <c r="DU67" s="3429" t="s">
        <v>257</v>
      </c>
      <c r="DV67" s="3430"/>
      <c r="DW67" s="3430"/>
      <c r="DX67" s="3429" t="s">
        <v>756</v>
      </c>
      <c r="DY67" s="3430"/>
      <c r="DZ67" s="3434"/>
      <c r="EB67" s="3488" t="str">
        <f ca="1">CELL("adresse",Engraissement!N55)</f>
        <v>'[Bilagreau7 exemple.xlsm]Engraissement'!$N$55</v>
      </c>
      <c r="EC67" s="3488"/>
      <c r="ED67" s="3488"/>
      <c r="EE67" s="3488"/>
      <c r="EF67" s="3488"/>
      <c r="EG67" s="3488"/>
      <c r="EH67" s="3488"/>
      <c r="EI67" s="3488"/>
      <c r="EJ67" s="3488"/>
      <c r="EK67" s="3488"/>
      <c r="EL67" s="3488"/>
      <c r="EM67" s="3488"/>
      <c r="EN67" s="3488"/>
    </row>
    <row r="68" spans="1:144" ht="13.5" thickTop="1" x14ac:dyDescent="0.2">
      <c r="C68" s="605"/>
      <c r="I68" s="811"/>
      <c r="J68" s="613" t="str">
        <f t="shared" si="19"/>
        <v>● génisses de renouvellement (année 2)</v>
      </c>
      <c r="K68" s="1417">
        <v>65</v>
      </c>
      <c r="L68"/>
      <c r="M68"/>
      <c r="N68"/>
      <c r="O68"/>
      <c r="P68"/>
      <c r="Q68"/>
      <c r="R68"/>
      <c r="S68"/>
      <c r="AH68" s="758"/>
      <c r="AI68" s="2916" t="s">
        <v>2371</v>
      </c>
      <c r="AJ68" s="935">
        <v>0.7</v>
      </c>
      <c r="AK68" s="935">
        <v>0.8</v>
      </c>
      <c r="AL68" s="937">
        <v>1</v>
      </c>
      <c r="BB68" t="s">
        <v>187</v>
      </c>
      <c r="BC68" s="1310">
        <v>26.5</v>
      </c>
      <c r="BD68" s="1310">
        <v>3.2000000000000002E-3</v>
      </c>
      <c r="BE68" s="576"/>
      <c r="BF68" s="576"/>
      <c r="BG68" s="189"/>
      <c r="BU68" s="630" t="s">
        <v>1886</v>
      </c>
      <c r="BV68" s="1963">
        <v>25.5</v>
      </c>
      <c r="BW68" s="1961">
        <f>5.3*2.29</f>
        <v>12.137</v>
      </c>
      <c r="BX68" s="1961">
        <f>2.1*1.2</f>
        <v>2.52</v>
      </c>
      <c r="BY68"/>
      <c r="DN68" s="32"/>
      <c r="DO68" s="50" t="s">
        <v>353</v>
      </c>
      <c r="DP68" s="50" t="s">
        <v>355</v>
      </c>
      <c r="DQ68" s="50" t="s">
        <v>344</v>
      </c>
      <c r="DR68" s="110" t="s">
        <v>249</v>
      </c>
      <c r="DS68" s="36" t="s">
        <v>247</v>
      </c>
      <c r="DT68" s="36"/>
      <c r="DU68" s="35" t="s">
        <v>249</v>
      </c>
      <c r="DV68" s="36" t="s">
        <v>247</v>
      </c>
      <c r="DW68" s="36"/>
      <c r="DX68" s="35" t="s">
        <v>249</v>
      </c>
      <c r="DY68" s="36" t="s">
        <v>247</v>
      </c>
      <c r="DZ68" s="1003"/>
      <c r="EE68" s="605"/>
      <c r="EF68" s="3450" t="s">
        <v>40</v>
      </c>
      <c r="EG68" s="3451"/>
      <c r="EH68" s="3451"/>
      <c r="EI68" s="3450" t="s">
        <v>41</v>
      </c>
      <c r="EJ68" s="3451"/>
      <c r="EK68" s="3451"/>
      <c r="EL68" s="3450" t="s">
        <v>42</v>
      </c>
      <c r="EM68" s="3451"/>
      <c r="EN68" s="3454"/>
    </row>
    <row r="69" spans="1:144" ht="13.5" thickBot="1" x14ac:dyDescent="0.25">
      <c r="C69" s="605"/>
      <c r="I69" s="811"/>
      <c r="J69" s="613" t="str">
        <f t="shared" si="19"/>
        <v>● génisses de renouvellement (année 3)</v>
      </c>
      <c r="K69" s="1417">
        <v>84</v>
      </c>
      <c r="L69"/>
      <c r="M69"/>
      <c r="N69"/>
      <c r="O69"/>
      <c r="P69"/>
      <c r="Q69"/>
      <c r="R69"/>
      <c r="S69"/>
      <c r="AQ69" s="1539"/>
      <c r="AR69" s="1554" t="s">
        <v>1202</v>
      </c>
      <c r="AS69" s="841"/>
      <c r="AT69" s="841"/>
      <c r="AU69" s="841"/>
      <c r="AV69" s="841"/>
      <c r="AW69" s="841"/>
      <c r="AX69" s="841"/>
      <c r="BG69" s="188"/>
      <c r="BU69" s="630" t="s">
        <v>1887</v>
      </c>
      <c r="BV69" s="1963">
        <v>28.5</v>
      </c>
      <c r="BW69" s="1961">
        <v>16</v>
      </c>
      <c r="BX69" s="1963">
        <v>2.5</v>
      </c>
      <c r="BY69"/>
      <c r="DN69" s="32"/>
      <c r="DO69" s="177" t="s">
        <v>354</v>
      </c>
      <c r="DP69" s="176" t="s">
        <v>356</v>
      </c>
      <c r="DQ69" s="51" t="s">
        <v>343</v>
      </c>
      <c r="DR69" s="110" t="s">
        <v>248</v>
      </c>
      <c r="DS69" s="36" t="s">
        <v>246</v>
      </c>
      <c r="DT69" s="36" t="s">
        <v>244</v>
      </c>
      <c r="DU69" s="35" t="s">
        <v>248</v>
      </c>
      <c r="DV69" s="36" t="s">
        <v>246</v>
      </c>
      <c r="DW69" s="36" t="s">
        <v>244</v>
      </c>
      <c r="DX69" s="35" t="s">
        <v>248</v>
      </c>
      <c r="DY69" s="36" t="s">
        <v>246</v>
      </c>
      <c r="DZ69" s="109" t="s">
        <v>244</v>
      </c>
      <c r="EB69" s="841" t="s">
        <v>21</v>
      </c>
      <c r="EC69" s="841"/>
      <c r="EE69" s="605"/>
      <c r="EF69" s="110" t="s">
        <v>249</v>
      </c>
      <c r="EG69" s="36" t="s">
        <v>247</v>
      </c>
      <c r="EH69" s="36"/>
      <c r="EI69" s="35" t="s">
        <v>249</v>
      </c>
      <c r="EJ69" s="36" t="s">
        <v>247</v>
      </c>
      <c r="EK69" s="37"/>
      <c r="EL69" s="36" t="s">
        <v>249</v>
      </c>
      <c r="EM69" s="36" t="s">
        <v>247</v>
      </c>
      <c r="EN69" s="109"/>
    </row>
    <row r="70" spans="1:144" ht="14.25" thickTop="1" thickBot="1" x14ac:dyDescent="0.25">
      <c r="I70" s="811" t="str">
        <f t="shared" si="19"/>
        <v>Animaux en engraissement</v>
      </c>
      <c r="J70" s="613"/>
      <c r="K70" s="1418"/>
      <c r="L70"/>
      <c r="M70"/>
      <c r="N70"/>
      <c r="O70"/>
      <c r="P70"/>
      <c r="Q70"/>
      <c r="R70"/>
      <c r="S70"/>
      <c r="AQ70" t="s">
        <v>34</v>
      </c>
      <c r="AR70" s="3260" t="s">
        <v>776</v>
      </c>
      <c r="AS70" s="3261"/>
      <c r="AT70" s="3261"/>
      <c r="AU70" s="3261"/>
      <c r="AV70" s="3262"/>
      <c r="AZ70" s="1317" t="str">
        <f ca="1">CELL("adresse",Autonomie!$AI$67)</f>
        <v>'[Bilagreau7 exemple.xlsm]Autonomie'!$AI$67</v>
      </c>
      <c r="BA70" s="1317"/>
      <c r="BB70" s="1317"/>
      <c r="BC70" s="1317"/>
      <c r="BD70" s="1317"/>
      <c r="BE70" s="1317"/>
      <c r="BF70" s="1317"/>
      <c r="BG70" s="1690"/>
      <c r="BU70" s="630" t="s">
        <v>1888</v>
      </c>
      <c r="BV70" s="1963">
        <v>28.5</v>
      </c>
      <c r="BW70" s="1961">
        <v>16</v>
      </c>
      <c r="BX70" s="1963">
        <v>2.5</v>
      </c>
      <c r="BY70"/>
      <c r="DN70" s="252" t="s">
        <v>345</v>
      </c>
      <c r="DO70" s="253"/>
      <c r="DP70" s="254"/>
      <c r="DQ70" s="255">
        <v>5</v>
      </c>
      <c r="DR70" s="1004">
        <v>6.5</v>
      </c>
      <c r="DS70" s="960">
        <v>0</v>
      </c>
      <c r="DT70" s="211"/>
      <c r="DU70" s="1011">
        <v>2.8</v>
      </c>
      <c r="DV70" s="960">
        <v>0</v>
      </c>
      <c r="DW70" s="118"/>
      <c r="DX70" s="1011">
        <v>13</v>
      </c>
      <c r="DY70" s="960">
        <v>0</v>
      </c>
      <c r="DZ70" s="119"/>
      <c r="EB70" s="1156" t="s">
        <v>611</v>
      </c>
      <c r="EE70" s="605"/>
      <c r="EF70" s="112" t="s">
        <v>248</v>
      </c>
      <c r="EG70" s="39" t="s">
        <v>246</v>
      </c>
      <c r="EH70" s="39" t="s">
        <v>244</v>
      </c>
      <c r="EI70" s="38" t="s">
        <v>248</v>
      </c>
      <c r="EJ70" s="39" t="s">
        <v>246</v>
      </c>
      <c r="EK70" s="40" t="s">
        <v>244</v>
      </c>
      <c r="EL70" s="39" t="s">
        <v>248</v>
      </c>
      <c r="EM70" s="39" t="s">
        <v>246</v>
      </c>
      <c r="EN70" s="113" t="s">
        <v>244</v>
      </c>
    </row>
    <row r="71" spans="1:144" ht="13.5" thickTop="1" x14ac:dyDescent="0.2">
      <c r="I71" s="811" t="str">
        <f t="shared" si="19"/>
        <v>● Mâles à l'engraissement</v>
      </c>
      <c r="J71" s="613"/>
      <c r="K71" s="1418"/>
      <c r="L71"/>
      <c r="M71"/>
      <c r="N71"/>
      <c r="O71"/>
      <c r="P71"/>
      <c r="Q71"/>
      <c r="R71"/>
      <c r="S71"/>
      <c r="AA71" t="s">
        <v>671</v>
      </c>
      <c r="AH71" s="1119" t="str">
        <f ca="1">CELL("adresse",Ferti_Prairies!AS97)</f>
        <v>'[Bilagreau7 exemple.xlsm]Ferti_Prairies'!$AS$97</v>
      </c>
      <c r="AI71" s="1207" t="s">
        <v>897</v>
      </c>
      <c r="AJ71" s="1208">
        <v>230</v>
      </c>
      <c r="AK71" s="603" t="s">
        <v>903</v>
      </c>
      <c r="AL71" s="757"/>
      <c r="AQ71" s="1442" t="s">
        <v>1098</v>
      </c>
      <c r="AR71" s="1115" t="s">
        <v>773</v>
      </c>
      <c r="AS71" s="1540" t="s">
        <v>750</v>
      </c>
      <c r="AT71" s="1540" t="s">
        <v>751</v>
      </c>
      <c r="AU71" s="1540" t="s">
        <v>774</v>
      </c>
      <c r="AV71" s="1541" t="s">
        <v>775</v>
      </c>
      <c r="AZ71" s="841" t="s">
        <v>85</v>
      </c>
      <c r="BA71" s="841"/>
      <c r="BB71" s="841"/>
      <c r="BC71" s="841"/>
      <c r="BD71" s="841"/>
      <c r="BE71" s="841"/>
      <c r="BG71" s="188"/>
      <c r="BU71" s="630" t="s">
        <v>1889</v>
      </c>
      <c r="BV71" s="1963">
        <v>30</v>
      </c>
      <c r="BW71" s="1961">
        <f>5*2.29</f>
        <v>11.45</v>
      </c>
      <c r="BX71" s="1963">
        <f>2*1.2</f>
        <v>2.4</v>
      </c>
      <c r="BY71"/>
      <c r="DN71" s="257" t="s">
        <v>342</v>
      </c>
      <c r="DO71" s="258"/>
      <c r="DP71" s="259"/>
      <c r="DQ71" s="260">
        <v>6</v>
      </c>
      <c r="DR71" s="1005">
        <v>6</v>
      </c>
      <c r="DS71" s="946">
        <v>0</v>
      </c>
      <c r="DT71" s="205"/>
      <c r="DU71" s="950">
        <v>2.5</v>
      </c>
      <c r="DV71" s="946">
        <v>0</v>
      </c>
      <c r="DW71" s="128"/>
      <c r="DX71" s="950">
        <v>10.5</v>
      </c>
      <c r="DY71" s="946">
        <v>0</v>
      </c>
      <c r="DZ71" s="129"/>
      <c r="EB71" s="80" t="s">
        <v>390</v>
      </c>
      <c r="EC71" s="53"/>
      <c r="ED71" s="53"/>
      <c r="EE71" s="158"/>
      <c r="EF71" s="431"/>
      <c r="EG71" s="1077"/>
      <c r="EH71" s="432"/>
      <c r="EI71" s="1078"/>
      <c r="EJ71" s="432"/>
      <c r="EK71" s="1079"/>
      <c r="EL71" s="432"/>
      <c r="EM71" s="432"/>
      <c r="EN71" s="1080"/>
    </row>
    <row r="72" spans="1:144" x14ac:dyDescent="0.2">
      <c r="I72" s="811"/>
      <c r="J72" s="613" t="str">
        <f t="shared" si="19"/>
        <v xml:space="preserve">   - mâles année 1 (y compris taurillons)</v>
      </c>
      <c r="K72" s="1417">
        <v>34</v>
      </c>
      <c r="L72"/>
      <c r="M72"/>
      <c r="N72"/>
      <c r="O72"/>
      <c r="P72"/>
      <c r="Q72"/>
      <c r="R72"/>
      <c r="S72"/>
      <c r="AA72" t="s">
        <v>671</v>
      </c>
      <c r="AH72" s="1042" t="str">
        <f ca="1">CELL("adresse",Ferti_Prairies!AS98)</f>
        <v>'[Bilagreau7 exemple.xlsm]Ferti_Prairies'!$AS$98</v>
      </c>
      <c r="AI72" s="1209" t="s">
        <v>897</v>
      </c>
      <c r="AJ72" s="1210">
        <v>80</v>
      </c>
      <c r="AK72" s="605" t="s">
        <v>904</v>
      </c>
      <c r="AL72" s="606"/>
      <c r="AQ72" t="s">
        <v>33</v>
      </c>
      <c r="AR72" s="1017">
        <v>30</v>
      </c>
      <c r="AS72" s="940">
        <v>0</v>
      </c>
      <c r="AT72" s="940">
        <v>0</v>
      </c>
      <c r="AU72" s="940">
        <v>0</v>
      </c>
      <c r="AV72" s="941">
        <v>0</v>
      </c>
      <c r="BB72" t="s">
        <v>543</v>
      </c>
      <c r="BC72" s="576" t="s">
        <v>926</v>
      </c>
      <c r="BD72" s="576" t="s">
        <v>927</v>
      </c>
      <c r="BG72" s="188"/>
      <c r="BU72" s="630" t="s">
        <v>1947</v>
      </c>
      <c r="BV72" s="1963">
        <v>29</v>
      </c>
      <c r="BW72" s="1961">
        <f>5.8*2.29</f>
        <v>13.282</v>
      </c>
      <c r="BX72" s="1963">
        <f>4.5*1.2</f>
        <v>5.3999999999999995</v>
      </c>
      <c r="BY72"/>
      <c r="DN72" s="120"/>
      <c r="DO72" s="258"/>
      <c r="DP72" s="259"/>
      <c r="DQ72" s="260">
        <v>7</v>
      </c>
      <c r="DR72" s="1005">
        <v>4.8</v>
      </c>
      <c r="DS72" s="946">
        <v>0</v>
      </c>
      <c r="DT72" s="205"/>
      <c r="DU72" s="950">
        <v>2</v>
      </c>
      <c r="DV72" s="946">
        <v>0</v>
      </c>
      <c r="DW72" s="128"/>
      <c r="DX72" s="950">
        <v>9.5</v>
      </c>
      <c r="DY72" s="946">
        <v>0</v>
      </c>
      <c r="DZ72" s="129"/>
      <c r="EB72" s="94" t="s">
        <v>388</v>
      </c>
      <c r="EC72" s="46"/>
      <c r="ED72" s="46"/>
      <c r="EE72" s="1043" t="s">
        <v>386</v>
      </c>
      <c r="EF72" s="903"/>
      <c r="EG72" s="1136">
        <v>0</v>
      </c>
      <c r="EH72" s="1136">
        <v>5.3</v>
      </c>
      <c r="EI72" s="1137"/>
      <c r="EJ72" s="1138">
        <v>0</v>
      </c>
      <c r="EK72" s="1139">
        <v>3.2</v>
      </c>
      <c r="EL72" s="1140"/>
      <c r="EM72" s="1138">
        <v>0</v>
      </c>
      <c r="EN72" s="1141">
        <v>5.5</v>
      </c>
    </row>
    <row r="73" spans="1:144" ht="13.5" thickBot="1" x14ac:dyDescent="0.25">
      <c r="I73" s="811"/>
      <c r="J73" s="613" t="str">
        <f t="shared" si="19"/>
        <v xml:space="preserve">   - mâles année 2 (hors taurillons)</v>
      </c>
      <c r="K73" s="1417">
        <v>46</v>
      </c>
      <c r="L73"/>
      <c r="M73"/>
      <c r="N73"/>
      <c r="O73"/>
      <c r="P73"/>
      <c r="Q73"/>
      <c r="R73"/>
      <c r="S73"/>
      <c r="AA73" t="s">
        <v>671</v>
      </c>
      <c r="AH73" s="1128" t="str">
        <f ca="1">CELL("adresse",Ferti_Prairies!AS107)</f>
        <v>'[Bilagreau7 exemple.xlsm]Ferti_Prairies'!$AS$107</v>
      </c>
      <c r="AI73" s="1211" t="s">
        <v>899</v>
      </c>
      <c r="AJ73" s="1212">
        <v>200</v>
      </c>
      <c r="AK73" s="607" t="s">
        <v>898</v>
      </c>
      <c r="AL73" s="759"/>
      <c r="BB73" t="s">
        <v>538</v>
      </c>
      <c r="BC73" s="1106">
        <v>1600</v>
      </c>
      <c r="BD73" s="1106">
        <v>1200</v>
      </c>
      <c r="BG73" s="188"/>
      <c r="BY73"/>
      <c r="DN73" s="262"/>
      <c r="DO73" s="258"/>
      <c r="DP73" s="259"/>
      <c r="DQ73" s="260">
        <v>8</v>
      </c>
      <c r="DR73" s="1005">
        <v>4.3</v>
      </c>
      <c r="DS73" s="946">
        <v>0</v>
      </c>
      <c r="DT73" s="205"/>
      <c r="DU73" s="950">
        <v>1.8</v>
      </c>
      <c r="DV73" s="946">
        <v>0</v>
      </c>
      <c r="DW73" s="128"/>
      <c r="DX73" s="950">
        <v>8.5</v>
      </c>
      <c r="DY73" s="946">
        <v>0</v>
      </c>
      <c r="DZ73" s="129"/>
      <c r="EB73" s="61"/>
      <c r="EC73" s="46"/>
      <c r="ED73" s="46"/>
      <c r="EE73" s="1043" t="s">
        <v>387</v>
      </c>
      <c r="EF73" s="903"/>
      <c r="EG73" s="1136">
        <v>0</v>
      </c>
      <c r="EH73" s="1136">
        <v>6.6</v>
      </c>
      <c r="EI73" s="1137"/>
      <c r="EJ73" s="1138">
        <v>0</v>
      </c>
      <c r="EK73" s="1139">
        <v>3</v>
      </c>
      <c r="EL73" s="1140"/>
      <c r="EM73" s="1138">
        <v>0</v>
      </c>
      <c r="EN73" s="1141">
        <v>7.3</v>
      </c>
    </row>
    <row r="74" spans="1:144" ht="13.5" thickTop="1" x14ac:dyDescent="0.2">
      <c r="I74" s="811"/>
      <c r="J74" s="613" t="str">
        <f t="shared" si="19"/>
        <v xml:space="preserve">   - mâles année 3</v>
      </c>
      <c r="K74" s="1417">
        <v>103</v>
      </c>
      <c r="L74"/>
      <c r="M74"/>
      <c r="N74"/>
      <c r="O74"/>
      <c r="P74"/>
      <c r="Q74"/>
      <c r="R74"/>
      <c r="S74"/>
      <c r="AR74" s="3260" t="s">
        <v>774</v>
      </c>
      <c r="AS74" s="3261"/>
      <c r="AT74" s="3261"/>
      <c r="AU74" s="3261"/>
      <c r="AV74" s="3262"/>
      <c r="BB74" t="s">
        <v>219</v>
      </c>
      <c r="BC74" s="1106">
        <v>1300</v>
      </c>
      <c r="BD74" s="1106">
        <v>1000</v>
      </c>
      <c r="BG74" s="188"/>
      <c r="BU74" s="850" t="s">
        <v>1910</v>
      </c>
      <c r="BV74" s="1204" t="s">
        <v>625</v>
      </c>
      <c r="BW74" s="1204" t="s">
        <v>187</v>
      </c>
      <c r="BX74" s="1204" t="s">
        <v>665</v>
      </c>
      <c r="BY74"/>
      <c r="DN74" s="80" t="s">
        <v>351</v>
      </c>
      <c r="DO74" s="300">
        <v>1</v>
      </c>
      <c r="DP74" s="300"/>
      <c r="DQ74" s="301"/>
      <c r="DR74" s="1015"/>
      <c r="DS74" s="305"/>
      <c r="DT74" s="307"/>
      <c r="DU74" s="304"/>
      <c r="DV74" s="305"/>
      <c r="DW74" s="399"/>
      <c r="DX74" s="305"/>
      <c r="DY74" s="305"/>
      <c r="DZ74" s="401"/>
      <c r="EB74" s="61"/>
      <c r="EC74" s="46"/>
      <c r="ED74" s="46"/>
      <c r="EE74" s="1043" t="s">
        <v>255</v>
      </c>
      <c r="EF74" s="903"/>
      <c r="EG74" s="1142"/>
      <c r="EH74" s="1136">
        <v>9</v>
      </c>
      <c r="EI74" s="1137"/>
      <c r="EJ74" s="1140"/>
      <c r="EK74" s="1149">
        <v>3.33</v>
      </c>
      <c r="EL74" s="1140"/>
      <c r="EM74" s="1140"/>
      <c r="EN74" s="1141">
        <v>9.3000000000000007</v>
      </c>
    </row>
    <row r="75" spans="1:144" x14ac:dyDescent="0.2">
      <c r="I75" s="811" t="str">
        <f t="shared" si="19"/>
        <v>● Tous taurillons (année 2)</v>
      </c>
      <c r="J75" s="613"/>
      <c r="K75" s="1417">
        <v>35</v>
      </c>
      <c r="L75"/>
      <c r="M75"/>
      <c r="N75"/>
      <c r="O75"/>
      <c r="P75"/>
      <c r="Q75"/>
      <c r="R75"/>
      <c r="S75"/>
      <c r="AR75" s="1115" t="s">
        <v>773</v>
      </c>
      <c r="AS75" s="1540" t="s">
        <v>750</v>
      </c>
      <c r="AT75" s="1540" t="s">
        <v>751</v>
      </c>
      <c r="AU75" s="1540" t="s">
        <v>774</v>
      </c>
      <c r="AV75" s="1541" t="s">
        <v>775</v>
      </c>
      <c r="BB75" t="s">
        <v>625</v>
      </c>
      <c r="BC75" s="1106">
        <v>41</v>
      </c>
      <c r="BD75" s="1106">
        <v>34</v>
      </c>
      <c r="BG75" s="188"/>
      <c r="BU75" s="630" t="s">
        <v>1918</v>
      </c>
      <c r="BV75" s="1963">
        <v>15</v>
      </c>
      <c r="BW75" s="1961">
        <v>7</v>
      </c>
      <c r="BX75" s="1963">
        <v>20</v>
      </c>
      <c r="BY75"/>
      <c r="DN75" s="61" t="s">
        <v>352</v>
      </c>
      <c r="DO75" s="50">
        <v>2</v>
      </c>
      <c r="DP75" s="50"/>
      <c r="DQ75" s="212">
        <v>5</v>
      </c>
      <c r="DR75" s="1006">
        <v>4.0999999999999996</v>
      </c>
      <c r="DS75" s="993">
        <v>0</v>
      </c>
      <c r="DT75" s="215"/>
      <c r="DU75" s="1012">
        <v>1.5</v>
      </c>
      <c r="DV75" s="993">
        <v>0</v>
      </c>
      <c r="DW75" s="216"/>
      <c r="DX75" s="993">
        <v>5.5</v>
      </c>
      <c r="DY75" s="993">
        <v>0</v>
      </c>
      <c r="DZ75" s="217"/>
      <c r="EB75" s="717" t="s">
        <v>389</v>
      </c>
      <c r="EC75" s="227"/>
      <c r="ED75" s="227"/>
      <c r="EE75" s="1044" t="s">
        <v>386</v>
      </c>
      <c r="EF75" s="898"/>
      <c r="EG75" s="1143">
        <v>0</v>
      </c>
      <c r="EH75" s="1143">
        <v>5</v>
      </c>
      <c r="EI75" s="1144"/>
      <c r="EJ75" s="1145">
        <v>0</v>
      </c>
      <c r="EK75" s="1146">
        <v>2.25</v>
      </c>
      <c r="EL75" s="1147"/>
      <c r="EM75" s="1145">
        <v>0</v>
      </c>
      <c r="EN75" s="1148">
        <v>6</v>
      </c>
    </row>
    <row r="76" spans="1:144" x14ac:dyDescent="0.2">
      <c r="I76" s="811" t="str">
        <f t="shared" si="19"/>
        <v>● Génisses à l'engraissement</v>
      </c>
      <c r="J76" s="613"/>
      <c r="K76" s="1418"/>
      <c r="L76"/>
      <c r="M76"/>
      <c r="N76"/>
      <c r="O76"/>
      <c r="P76"/>
      <c r="Q76"/>
      <c r="R76"/>
      <c r="S76"/>
      <c r="AR76" s="1017">
        <v>50</v>
      </c>
      <c r="AS76" s="940">
        <v>0</v>
      </c>
      <c r="AT76" s="940">
        <v>0</v>
      </c>
      <c r="AU76" s="940">
        <v>0</v>
      </c>
      <c r="AV76" s="941">
        <v>0</v>
      </c>
      <c r="BB76" t="s">
        <v>187</v>
      </c>
      <c r="BC76" s="1106">
        <v>13</v>
      </c>
      <c r="BD76" s="1106">
        <v>11</v>
      </c>
      <c r="BG76" s="188"/>
      <c r="BU76" s="630" t="s">
        <v>1919</v>
      </c>
      <c r="BV76" s="1963">
        <v>28</v>
      </c>
      <c r="BW76" s="1961">
        <v>7.5</v>
      </c>
      <c r="BX76" s="1963">
        <v>30</v>
      </c>
      <c r="BY76"/>
      <c r="DN76" s="61"/>
      <c r="DO76" s="51"/>
      <c r="DP76" s="51"/>
      <c r="DQ76" s="126">
        <v>6</v>
      </c>
      <c r="DR76" s="1005">
        <v>3.2</v>
      </c>
      <c r="DS76" s="946">
        <v>0</v>
      </c>
      <c r="DT76" s="128"/>
      <c r="DU76" s="950">
        <v>1</v>
      </c>
      <c r="DV76" s="946">
        <v>0</v>
      </c>
      <c r="DW76" s="205"/>
      <c r="DX76" s="946">
        <v>4</v>
      </c>
      <c r="DY76" s="946">
        <v>0</v>
      </c>
      <c r="DZ76" s="129"/>
      <c r="EB76" s="61"/>
      <c r="EC76" s="46"/>
      <c r="ED76" s="46"/>
      <c r="EE76" s="1045" t="s">
        <v>387</v>
      </c>
      <c r="EF76" s="903"/>
      <c r="EG76" s="1136">
        <v>0</v>
      </c>
      <c r="EH76" s="1136">
        <v>7</v>
      </c>
      <c r="EI76" s="1137"/>
      <c r="EJ76" s="1138">
        <v>0</v>
      </c>
      <c r="EK76" s="1149">
        <v>2.7</v>
      </c>
      <c r="EL76" s="1140"/>
      <c r="EM76" s="1138">
        <v>0</v>
      </c>
      <c r="EN76" s="1150">
        <v>9.3000000000000007</v>
      </c>
    </row>
    <row r="77" spans="1:144" ht="13.5" thickBot="1" x14ac:dyDescent="0.25">
      <c r="I77" s="811"/>
      <c r="J77" s="613" t="str">
        <f t="shared" si="19"/>
        <v xml:space="preserve">   - génisses année 2</v>
      </c>
      <c r="K77" s="1417">
        <v>65</v>
      </c>
      <c r="L77"/>
      <c r="M77"/>
      <c r="N77"/>
      <c r="O77"/>
      <c r="P77"/>
      <c r="Q77"/>
      <c r="R77"/>
      <c r="S77"/>
      <c r="BG77" s="188"/>
      <c r="BU77" s="630" t="s">
        <v>1920</v>
      </c>
      <c r="BV77" s="1963">
        <v>18</v>
      </c>
      <c r="BW77" s="1961">
        <v>6</v>
      </c>
      <c r="BX77" s="1963">
        <v>30</v>
      </c>
      <c r="BY77"/>
      <c r="DN77" s="61"/>
      <c r="DO77" s="51"/>
      <c r="DP77" s="51"/>
      <c r="DQ77" s="126">
        <v>7</v>
      </c>
      <c r="DR77" s="1005">
        <v>3.2</v>
      </c>
      <c r="DS77" s="946">
        <v>0</v>
      </c>
      <c r="DT77" s="128"/>
      <c r="DU77" s="950">
        <v>1</v>
      </c>
      <c r="DV77" s="946">
        <v>0</v>
      </c>
      <c r="DW77" s="205"/>
      <c r="DX77" s="946">
        <v>4</v>
      </c>
      <c r="DY77" s="946">
        <v>0</v>
      </c>
      <c r="DZ77" s="129"/>
      <c r="EB77" s="716"/>
      <c r="EC77" s="73"/>
      <c r="ED77" s="73"/>
      <c r="EE77" s="1046" t="s">
        <v>255</v>
      </c>
      <c r="EF77" s="1027"/>
      <c r="EG77" s="1151"/>
      <c r="EH77" s="1152">
        <v>9</v>
      </c>
      <c r="EI77" s="1153"/>
      <c r="EJ77" s="1151"/>
      <c r="EK77" s="1154">
        <v>3.25</v>
      </c>
      <c r="EL77" s="1151"/>
      <c r="EM77" s="1151"/>
      <c r="EN77" s="1155">
        <v>12</v>
      </c>
    </row>
    <row r="78" spans="1:144" ht="13.5" thickTop="1" x14ac:dyDescent="0.2">
      <c r="I78" s="811"/>
      <c r="J78" s="613" t="str">
        <f t="shared" si="19"/>
        <v xml:space="preserve">   - génisses année 3</v>
      </c>
      <c r="K78" s="1417">
        <v>84</v>
      </c>
      <c r="L78"/>
      <c r="M78"/>
      <c r="N78"/>
      <c r="O78"/>
      <c r="P78"/>
      <c r="Q78"/>
      <c r="R78"/>
      <c r="S78"/>
      <c r="AR78" s="3260" t="s">
        <v>775</v>
      </c>
      <c r="AS78" s="3261"/>
      <c r="AT78" s="3261"/>
      <c r="AU78" s="3261"/>
      <c r="AV78" s="3262"/>
      <c r="AZ78" s="1317" t="str">
        <f ca="1">CELL("adresse",Autonomie!$AQ$67)</f>
        <v>'[Bilagreau7 exemple.xlsm]Autonomie'!$AQ$67</v>
      </c>
      <c r="BA78" s="1317"/>
      <c r="BB78" s="1317"/>
      <c r="BC78" s="1317"/>
      <c r="BD78" s="1317"/>
      <c r="BE78" s="1317"/>
      <c r="BF78" s="1317"/>
      <c r="BG78" s="1690"/>
      <c r="BU78" s="630" t="s">
        <v>1929</v>
      </c>
      <c r="BV78" s="1963">
        <v>12</v>
      </c>
      <c r="BW78" s="1961">
        <v>4.2</v>
      </c>
      <c r="BX78" s="1963">
        <v>12</v>
      </c>
      <c r="BY78"/>
      <c r="DN78" s="61"/>
      <c r="DO78" s="177"/>
      <c r="DP78" s="177"/>
      <c r="DQ78" s="152">
        <v>8</v>
      </c>
      <c r="DR78" s="1007">
        <v>2.1</v>
      </c>
      <c r="DS78" s="948">
        <v>0</v>
      </c>
      <c r="DT78" s="153"/>
      <c r="DU78" s="951">
        <v>0.7</v>
      </c>
      <c r="DV78" s="948">
        <v>0</v>
      </c>
      <c r="DW78" s="275"/>
      <c r="DX78" s="948">
        <v>3</v>
      </c>
      <c r="DY78" s="948">
        <v>0</v>
      </c>
      <c r="DZ78" s="154"/>
    </row>
    <row r="79" spans="1:144" x14ac:dyDescent="0.2">
      <c r="I79" s="811" t="str">
        <f t="shared" si="19"/>
        <v>● Toutes vaches de réforme</v>
      </c>
      <c r="J79" s="613"/>
      <c r="K79" s="1417">
        <v>46</v>
      </c>
      <c r="L79"/>
      <c r="M79"/>
      <c r="N79"/>
      <c r="O79"/>
      <c r="P79"/>
      <c r="Q79"/>
      <c r="R79"/>
      <c r="S79"/>
      <c r="AR79" s="1115" t="s">
        <v>773</v>
      </c>
      <c r="AS79" s="1540" t="s">
        <v>750</v>
      </c>
      <c r="AT79" s="1540" t="s">
        <v>751</v>
      </c>
      <c r="AU79" s="1540" t="s">
        <v>774</v>
      </c>
      <c r="AV79" s="1541" t="s">
        <v>775</v>
      </c>
      <c r="AZ79" s="841" t="s">
        <v>86</v>
      </c>
      <c r="BA79" s="841"/>
      <c r="BB79" s="841"/>
      <c r="BC79" s="841"/>
      <c r="BD79" s="841"/>
      <c r="BE79" s="841"/>
      <c r="BG79" s="188"/>
      <c r="BU79" s="630" t="s">
        <v>1921</v>
      </c>
      <c r="BV79" s="1963">
        <v>16</v>
      </c>
      <c r="BW79" s="1961">
        <v>7</v>
      </c>
      <c r="BX79" s="1963">
        <v>25</v>
      </c>
      <c r="BY79"/>
      <c r="DN79" s="61"/>
      <c r="DO79" s="51">
        <v>3</v>
      </c>
      <c r="DP79" s="276" t="s">
        <v>357</v>
      </c>
      <c r="DQ79" s="126"/>
      <c r="DR79" s="1008">
        <v>2.1</v>
      </c>
      <c r="DS79" s="993">
        <v>0</v>
      </c>
      <c r="DT79" s="215"/>
      <c r="DU79" s="1012">
        <v>0.7</v>
      </c>
      <c r="DV79" s="993">
        <v>0</v>
      </c>
      <c r="DW79" s="216"/>
      <c r="DX79" s="993">
        <v>3</v>
      </c>
      <c r="DY79" s="993">
        <v>0</v>
      </c>
      <c r="DZ79" s="217"/>
    </row>
    <row r="80" spans="1:144" ht="12.75" customHeight="1" x14ac:dyDescent="0.2">
      <c r="I80" s="811" t="str">
        <f t="shared" si="19"/>
        <v>● Autres élevages</v>
      </c>
      <c r="J80" s="613"/>
      <c r="K80" s="1418"/>
      <c r="L80"/>
      <c r="M80"/>
      <c r="N80"/>
      <c r="O80"/>
      <c r="P80"/>
      <c r="Q80"/>
      <c r="R80"/>
      <c r="S80"/>
      <c r="AR80" s="1017">
        <v>60</v>
      </c>
      <c r="AS80" s="940">
        <v>0</v>
      </c>
      <c r="AT80" s="940">
        <v>0</v>
      </c>
      <c r="AU80" s="940">
        <v>0</v>
      </c>
      <c r="AV80" s="941">
        <v>0</v>
      </c>
      <c r="BB80" t="s">
        <v>544</v>
      </c>
      <c r="BC80" s="576" t="s">
        <v>926</v>
      </c>
      <c r="BD80" s="576" t="s">
        <v>927</v>
      </c>
      <c r="BG80" s="188"/>
      <c r="BU80" s="630" t="s">
        <v>1922</v>
      </c>
      <c r="BV80" s="1963">
        <v>30</v>
      </c>
      <c r="BW80" s="1961">
        <v>6</v>
      </c>
      <c r="BX80" s="1963">
        <v>30</v>
      </c>
      <c r="BY80"/>
      <c r="DN80" s="61"/>
      <c r="DO80" s="51"/>
      <c r="DP80" s="130">
        <v>36</v>
      </c>
      <c r="DQ80" s="134">
        <v>5</v>
      </c>
      <c r="DR80" s="1009">
        <v>3.2</v>
      </c>
      <c r="DS80" s="961">
        <v>0</v>
      </c>
      <c r="DT80" s="136"/>
      <c r="DU80" s="1013">
        <v>1</v>
      </c>
      <c r="DV80" s="961">
        <v>0</v>
      </c>
      <c r="DW80" s="280"/>
      <c r="DX80" s="961">
        <v>4.5</v>
      </c>
      <c r="DY80" s="961">
        <v>0</v>
      </c>
      <c r="DZ80" s="137"/>
      <c r="EB80" s="3488" t="str">
        <f ca="1">CELL("adresse",Engraissement!M154)</f>
        <v>'[Bilagreau7 exemple.xlsm]Engraissement'!$M$154</v>
      </c>
      <c r="EC80" s="3488"/>
      <c r="ED80" s="3488"/>
      <c r="EE80" s="3488"/>
      <c r="EF80" s="3488"/>
      <c r="EG80" s="3488"/>
      <c r="EH80" s="3488"/>
      <c r="EI80" s="3488"/>
      <c r="EJ80" s="3488"/>
      <c r="EK80" s="3488"/>
      <c r="EL80" s="3488"/>
      <c r="EM80" s="3488"/>
      <c r="EN80" s="3488"/>
    </row>
    <row r="81" spans="9:144" x14ac:dyDescent="0.2">
      <c r="I81" s="814"/>
      <c r="J81" s="831" t="str">
        <f>J27</f>
        <v>Veaux de boucherie (par animal)</v>
      </c>
      <c r="K81" s="1419">
        <v>3</v>
      </c>
      <c r="L81"/>
      <c r="M81"/>
      <c r="N81"/>
      <c r="O81"/>
      <c r="P81"/>
      <c r="Q81"/>
      <c r="R81"/>
      <c r="S81"/>
      <c r="BB81" t="s">
        <v>538</v>
      </c>
      <c r="BC81" s="1106">
        <v>2800</v>
      </c>
      <c r="BD81" s="1106">
        <v>2600</v>
      </c>
      <c r="BG81" s="188"/>
      <c r="BU81" s="630" t="s">
        <v>1923</v>
      </c>
      <c r="BV81" s="1963">
        <v>24</v>
      </c>
      <c r="BW81" s="1961">
        <v>7</v>
      </c>
      <c r="BX81" s="1963">
        <v>35</v>
      </c>
      <c r="BY81"/>
      <c r="DN81" s="61"/>
      <c r="DO81" s="51"/>
      <c r="DP81" s="51"/>
      <c r="DQ81" s="126">
        <v>6</v>
      </c>
      <c r="DR81" s="1005">
        <v>3.2</v>
      </c>
      <c r="DS81" s="946">
        <v>0</v>
      </c>
      <c r="DT81" s="128"/>
      <c r="DU81" s="950">
        <v>1</v>
      </c>
      <c r="DV81" s="946">
        <v>0</v>
      </c>
      <c r="DW81" s="205"/>
      <c r="DX81" s="946">
        <v>4.5</v>
      </c>
      <c r="DY81" s="946">
        <v>0</v>
      </c>
      <c r="DZ81" s="129" t="s">
        <v>671</v>
      </c>
      <c r="EB81" s="3477" t="s">
        <v>20</v>
      </c>
      <c r="EC81" s="3477"/>
      <c r="ED81" s="3477"/>
      <c r="EF81" s="3429" t="s">
        <v>256</v>
      </c>
      <c r="EG81" s="3430"/>
      <c r="EH81" s="3431"/>
      <c r="EI81" s="3429" t="s">
        <v>257</v>
      </c>
      <c r="EJ81" s="3430"/>
      <c r="EK81" s="3431"/>
      <c r="EL81" s="3429" t="s">
        <v>756</v>
      </c>
      <c r="EM81" s="3430"/>
      <c r="EN81" s="3431"/>
    </row>
    <row r="82" spans="9:144" x14ac:dyDescent="0.2">
      <c r="AR82" s="3260" t="s">
        <v>777</v>
      </c>
      <c r="AS82" s="3261"/>
      <c r="AT82" s="3261"/>
      <c r="AU82" s="3261"/>
      <c r="AV82" s="3262"/>
      <c r="BB82" t="s">
        <v>219</v>
      </c>
      <c r="BC82" s="1106">
        <v>2300</v>
      </c>
      <c r="BD82" s="1106">
        <v>2000</v>
      </c>
      <c r="BG82" s="188"/>
      <c r="BU82" s="630" t="s">
        <v>1924</v>
      </c>
      <c r="BV82" s="1963">
        <v>2.5</v>
      </c>
      <c r="BW82" s="1961">
        <v>0.55000000000000004</v>
      </c>
      <c r="BX82" s="1963">
        <v>2</v>
      </c>
      <c r="BY82"/>
      <c r="DN82" s="61"/>
      <c r="DO82" s="51"/>
      <c r="DP82" s="51"/>
      <c r="DQ82" s="126">
        <v>7</v>
      </c>
      <c r="DR82" s="1005">
        <v>2.7</v>
      </c>
      <c r="DS82" s="946">
        <v>0</v>
      </c>
      <c r="DT82" s="128"/>
      <c r="DU82" s="950">
        <v>0.8</v>
      </c>
      <c r="DV82" s="946">
        <v>0</v>
      </c>
      <c r="DW82" s="205"/>
      <c r="DX82" s="946">
        <v>3.5</v>
      </c>
      <c r="DY82" s="946">
        <v>0</v>
      </c>
      <c r="DZ82" s="129"/>
      <c r="EB82" s="3477"/>
      <c r="EC82" s="3477"/>
      <c r="ED82" s="3477"/>
      <c r="EF82" s="35" t="s">
        <v>249</v>
      </c>
      <c r="EG82" s="36" t="s">
        <v>247</v>
      </c>
      <c r="EH82" s="36"/>
      <c r="EI82" s="35" t="s">
        <v>249</v>
      </c>
      <c r="EJ82" s="36" t="s">
        <v>247</v>
      </c>
      <c r="EK82" s="37"/>
      <c r="EL82" s="35" t="s">
        <v>249</v>
      </c>
      <c r="EM82" s="36" t="s">
        <v>247</v>
      </c>
      <c r="EN82" s="37"/>
    </row>
    <row r="83" spans="9:144" ht="13.5" thickBot="1" x14ac:dyDescent="0.25">
      <c r="AR83" s="1115" t="s">
        <v>773</v>
      </c>
      <c r="AS83" s="1540" t="s">
        <v>750</v>
      </c>
      <c r="AT83" s="1540" t="s">
        <v>751</v>
      </c>
      <c r="AU83" s="1540" t="s">
        <v>774</v>
      </c>
      <c r="AV83" s="1541" t="s">
        <v>775</v>
      </c>
      <c r="BB83" t="s">
        <v>625</v>
      </c>
      <c r="BC83" s="1106">
        <v>73</v>
      </c>
      <c r="BD83" s="1106">
        <v>68</v>
      </c>
      <c r="BG83" s="188"/>
      <c r="BU83" s="630" t="s">
        <v>1925</v>
      </c>
      <c r="BV83" s="1963">
        <v>30</v>
      </c>
      <c r="BW83" s="1961">
        <v>6</v>
      </c>
      <c r="BX83" s="1963">
        <v>30</v>
      </c>
      <c r="BY83"/>
      <c r="DN83" s="72"/>
      <c r="DO83" s="76"/>
      <c r="DP83" s="76"/>
      <c r="DQ83" s="281">
        <v>8</v>
      </c>
      <c r="DR83" s="1010">
        <v>2.1</v>
      </c>
      <c r="DS83" s="962">
        <v>0</v>
      </c>
      <c r="DT83" s="207"/>
      <c r="DU83" s="1014">
        <v>0.7</v>
      </c>
      <c r="DV83" s="962">
        <v>0</v>
      </c>
      <c r="DW83" s="208"/>
      <c r="DX83" s="962">
        <v>3</v>
      </c>
      <c r="DY83" s="962">
        <v>0</v>
      </c>
      <c r="DZ83" s="209"/>
      <c r="EF83" s="35" t="s">
        <v>248</v>
      </c>
      <c r="EG83" s="36" t="s">
        <v>246</v>
      </c>
      <c r="EH83" s="36" t="s">
        <v>244</v>
      </c>
      <c r="EI83" s="35" t="s">
        <v>248</v>
      </c>
      <c r="EJ83" s="36" t="s">
        <v>246</v>
      </c>
      <c r="EK83" s="37" t="s">
        <v>244</v>
      </c>
      <c r="EL83" s="35" t="s">
        <v>248</v>
      </c>
      <c r="EM83" s="36" t="s">
        <v>246</v>
      </c>
      <c r="EN83" s="37" t="s">
        <v>244</v>
      </c>
    </row>
    <row r="84" spans="9:144" ht="13.5" thickTop="1" x14ac:dyDescent="0.2">
      <c r="AR84" s="1017">
        <v>70</v>
      </c>
      <c r="AS84" s="940">
        <v>0</v>
      </c>
      <c r="AT84" s="940">
        <v>0</v>
      </c>
      <c r="AU84" s="940">
        <v>0</v>
      </c>
      <c r="AV84" s="941">
        <v>0</v>
      </c>
      <c r="BB84" t="s">
        <v>187</v>
      </c>
      <c r="BC84" s="1106">
        <v>17</v>
      </c>
      <c r="BD84" s="1106">
        <v>15</v>
      </c>
      <c r="BG84" s="188"/>
      <c r="BU84" s="630" t="s">
        <v>1927</v>
      </c>
      <c r="BV84" s="1963">
        <v>12</v>
      </c>
      <c r="BW84" s="1961">
        <v>5</v>
      </c>
      <c r="BX84" s="1963">
        <v>11</v>
      </c>
      <c r="BY84"/>
      <c r="EF84" s="1017">
        <v>10</v>
      </c>
      <c r="EG84" s="940">
        <v>0</v>
      </c>
      <c r="EH84" s="941">
        <v>10</v>
      </c>
      <c r="EI84" s="1017">
        <v>4.5</v>
      </c>
      <c r="EJ84" s="940">
        <v>0</v>
      </c>
      <c r="EK84" s="941">
        <v>4.5</v>
      </c>
      <c r="EL84" s="1017">
        <v>12</v>
      </c>
      <c r="EM84" s="940">
        <v>0</v>
      </c>
      <c r="EN84" s="941">
        <v>12</v>
      </c>
    </row>
    <row r="85" spans="9:144" ht="13.5" thickBot="1" x14ac:dyDescent="0.25">
      <c r="BG85" s="188"/>
      <c r="BU85" s="630" t="s">
        <v>1926</v>
      </c>
      <c r="BV85" s="1963">
        <v>26</v>
      </c>
      <c r="BW85" s="1961">
        <v>7</v>
      </c>
      <c r="BX85" s="1963">
        <v>25</v>
      </c>
      <c r="BY85"/>
      <c r="DN85" s="3486" t="str">
        <f ca="1">CELL("adresse",Allaitant!M114)</f>
        <v>'[Bilagreau7 exemple.xlsm]Allaitant'!$M$114</v>
      </c>
      <c r="DO85" s="3486"/>
      <c r="DP85" s="3486"/>
      <c r="DQ85" s="3486"/>
      <c r="DR85" s="3486"/>
      <c r="DS85" s="3486"/>
      <c r="DT85" s="3486"/>
      <c r="DU85" s="3486"/>
      <c r="DV85" s="3486"/>
      <c r="DW85" s="3486"/>
      <c r="DX85" s="3486"/>
      <c r="DY85" s="3486"/>
      <c r="DZ85" s="3486"/>
    </row>
    <row r="86" spans="9:144" ht="13.5" thickTop="1" x14ac:dyDescent="0.2">
      <c r="AZ86" s="1317" t="str">
        <f ca="1">CELL("adresse",Autonomie!$AV$67)</f>
        <v>'[Bilagreau7 exemple.xlsm]Autonomie'!$AV$67</v>
      </c>
      <c r="BA86" s="1317"/>
      <c r="BB86" s="1317"/>
      <c r="BC86" s="1317"/>
      <c r="BD86" s="1317"/>
      <c r="BE86" s="1317"/>
      <c r="BF86" s="1317"/>
      <c r="BG86" s="1690"/>
      <c r="BU86" s="630" t="s">
        <v>1928</v>
      </c>
      <c r="BV86" s="1963">
        <v>5.7</v>
      </c>
      <c r="BW86" s="1961">
        <v>2</v>
      </c>
      <c r="BX86" s="1963">
        <v>12</v>
      </c>
      <c r="BY86"/>
      <c r="DQ86" s="1016" t="s">
        <v>20</v>
      </c>
      <c r="DR86" s="841"/>
      <c r="DS86" s="841"/>
      <c r="DT86" s="841"/>
      <c r="DU86" s="841"/>
      <c r="DV86" s="841"/>
      <c r="DW86" s="841"/>
      <c r="DX86" s="841"/>
      <c r="DY86" s="841"/>
      <c r="DZ86" s="841"/>
      <c r="EF86" s="3450" t="s">
        <v>256</v>
      </c>
      <c r="EG86" s="3451"/>
      <c r="EH86" s="3451"/>
      <c r="EI86" s="3452" t="s">
        <v>257</v>
      </c>
      <c r="EJ86" s="3451"/>
      <c r="EK86" s="3453"/>
      <c r="EL86" s="3451" t="s">
        <v>756</v>
      </c>
      <c r="EM86" s="3451"/>
      <c r="EN86" s="3454"/>
    </row>
    <row r="87" spans="9:144" x14ac:dyDescent="0.2">
      <c r="AQ87" s="1470" t="str">
        <f ca="1">CELL("adresse",Ferti_Cultures!AA36)</f>
        <v>'[Bilagreau7 exemple.xlsm]Ferti_Cultures'!$AA$36</v>
      </c>
      <c r="AR87" s="841" t="s">
        <v>591</v>
      </c>
      <c r="AS87" s="841"/>
      <c r="AT87" s="841"/>
      <c r="AU87" s="841"/>
      <c r="AV87" s="841"/>
      <c r="AW87" s="841"/>
      <c r="AZ87" s="841" t="s">
        <v>87</v>
      </c>
      <c r="BA87" s="841"/>
      <c r="BB87" s="841"/>
      <c r="BC87" s="841"/>
      <c r="BD87" s="841"/>
      <c r="BE87" s="841"/>
      <c r="BG87" s="188"/>
      <c r="BY87"/>
      <c r="DR87" s="3429" t="s">
        <v>256</v>
      </c>
      <c r="DS87" s="3430"/>
      <c r="DT87" s="3431"/>
      <c r="DU87" s="3429" t="s">
        <v>257</v>
      </c>
      <c r="DV87" s="3430"/>
      <c r="DW87" s="3431"/>
      <c r="DX87" s="3429" t="s">
        <v>756</v>
      </c>
      <c r="DY87" s="3430"/>
      <c r="DZ87" s="3431"/>
      <c r="EB87" s="841" t="s">
        <v>21</v>
      </c>
      <c r="EF87" s="110" t="s">
        <v>249</v>
      </c>
      <c r="EG87" s="36" t="s">
        <v>247</v>
      </c>
      <c r="EH87" s="36"/>
      <c r="EI87" s="35" t="s">
        <v>249</v>
      </c>
      <c r="EJ87" s="36" t="s">
        <v>247</v>
      </c>
      <c r="EK87" s="37"/>
      <c r="EL87" s="36" t="s">
        <v>249</v>
      </c>
      <c r="EM87" s="36" t="s">
        <v>247</v>
      </c>
      <c r="EN87" s="109"/>
    </row>
    <row r="88" spans="9:144" ht="13.5" thickBot="1" x14ac:dyDescent="0.25">
      <c r="AQ88" s="613"/>
      <c r="AR88" s="1466" t="s">
        <v>625</v>
      </c>
      <c r="AS88" s="1466" t="s">
        <v>187</v>
      </c>
      <c r="AT88" s="1466" t="s">
        <v>790</v>
      </c>
      <c r="BB88" t="s">
        <v>545</v>
      </c>
      <c r="BC88" s="576" t="s">
        <v>546</v>
      </c>
      <c r="BD88" s="576" t="s">
        <v>927</v>
      </c>
      <c r="BG88" s="188"/>
      <c r="BU88" s="850" t="s">
        <v>1961</v>
      </c>
      <c r="BV88" s="1204" t="s">
        <v>625</v>
      </c>
      <c r="BW88" s="1204" t="s">
        <v>187</v>
      </c>
      <c r="BX88" s="1204" t="s">
        <v>665</v>
      </c>
      <c r="BY88" s="1204" t="s">
        <v>1967</v>
      </c>
      <c r="DR88" s="35" t="s">
        <v>249</v>
      </c>
      <c r="DS88" s="36" t="s">
        <v>247</v>
      </c>
      <c r="DT88" s="36"/>
      <c r="DU88" s="35" t="s">
        <v>249</v>
      </c>
      <c r="DV88" s="36" t="s">
        <v>247</v>
      </c>
      <c r="DW88" s="37"/>
      <c r="DX88" s="35" t="s">
        <v>249</v>
      </c>
      <c r="DY88" s="36" t="s">
        <v>247</v>
      </c>
      <c r="DZ88" s="37"/>
      <c r="EB88" s="2835" t="s">
        <v>2352</v>
      </c>
      <c r="EF88" s="112" t="s">
        <v>248</v>
      </c>
      <c r="EG88" s="39" t="s">
        <v>246</v>
      </c>
      <c r="EH88" s="39" t="s">
        <v>244</v>
      </c>
      <c r="EI88" s="38" t="s">
        <v>248</v>
      </c>
      <c r="EJ88" s="39" t="s">
        <v>246</v>
      </c>
      <c r="EK88" s="40" t="s">
        <v>244</v>
      </c>
      <c r="EL88" s="39" t="s">
        <v>248</v>
      </c>
      <c r="EM88" s="39" t="s">
        <v>246</v>
      </c>
      <c r="EN88" s="113" t="s">
        <v>244</v>
      </c>
    </row>
    <row r="89" spans="9:144" ht="13.5" thickTop="1" x14ac:dyDescent="0.2">
      <c r="AQ89" s="613" t="s">
        <v>781</v>
      </c>
      <c r="AR89" s="938">
        <v>-20</v>
      </c>
      <c r="AS89" s="938">
        <v>15</v>
      </c>
      <c r="AT89" s="938">
        <v>35</v>
      </c>
      <c r="BB89" t="s">
        <v>538</v>
      </c>
      <c r="BC89" s="1106">
        <f>11*30.25</f>
        <v>332.75</v>
      </c>
      <c r="BD89" s="1106">
        <v>3200</v>
      </c>
      <c r="BG89" s="188"/>
      <c r="BU89" s="1983" t="s">
        <v>1932</v>
      </c>
      <c r="BV89" s="1963">
        <v>5.0999999999999996</v>
      </c>
      <c r="BW89" s="1961">
        <v>2.1</v>
      </c>
      <c r="BX89" s="1963">
        <v>1.8</v>
      </c>
      <c r="BY89" s="630">
        <v>0</v>
      </c>
      <c r="DR89" s="35" t="s">
        <v>248</v>
      </c>
      <c r="DS89" s="36" t="s">
        <v>246</v>
      </c>
      <c r="DT89" s="36" t="s">
        <v>244</v>
      </c>
      <c r="DU89" s="35" t="s">
        <v>248</v>
      </c>
      <c r="DV89" s="36" t="s">
        <v>246</v>
      </c>
      <c r="DW89" s="37" t="s">
        <v>244</v>
      </c>
      <c r="DX89" s="35" t="s">
        <v>248</v>
      </c>
      <c r="DY89" s="36" t="s">
        <v>246</v>
      </c>
      <c r="DZ89" s="37" t="s">
        <v>244</v>
      </c>
      <c r="EB89" s="2840" t="s">
        <v>102</v>
      </c>
      <c r="EC89" s="2836"/>
      <c r="ED89" s="2836"/>
      <c r="EE89" s="2837"/>
      <c r="EF89" s="2807"/>
      <c r="EG89" s="191">
        <f>DE35</f>
        <v>42</v>
      </c>
      <c r="EH89" s="2848">
        <f>DF35</f>
        <v>60</v>
      </c>
      <c r="EI89" s="193"/>
      <c r="EJ89" s="194">
        <f>DH35</f>
        <v>14</v>
      </c>
      <c r="EK89" s="2849">
        <f>DI35</f>
        <v>25</v>
      </c>
      <c r="EL89" s="194"/>
      <c r="EM89" s="191">
        <f>DK35</f>
        <v>54</v>
      </c>
      <c r="EN89" s="2849">
        <f>DL35</f>
        <v>86</v>
      </c>
    </row>
    <row r="90" spans="9:144" ht="13.5" thickBot="1" x14ac:dyDescent="0.25">
      <c r="AQ90" s="613" t="s">
        <v>782</v>
      </c>
      <c r="AR90" s="938">
        <v>0</v>
      </c>
      <c r="AS90" s="938">
        <v>0</v>
      </c>
      <c r="AT90" s="938">
        <v>0</v>
      </c>
      <c r="BB90" t="s">
        <v>219</v>
      </c>
      <c r="BC90" s="1106">
        <f>8*30.25</f>
        <v>242</v>
      </c>
      <c r="BD90" s="1106">
        <v>2200</v>
      </c>
      <c r="BG90" s="188"/>
      <c r="BU90" s="1983" t="s">
        <v>1949</v>
      </c>
      <c r="BV90" s="1963">
        <v>24</v>
      </c>
      <c r="BW90" s="1961">
        <v>16</v>
      </c>
      <c r="BX90" s="1963">
        <v>2.5</v>
      </c>
      <c r="BY90" s="1963">
        <v>4</v>
      </c>
      <c r="DR90" s="1017">
        <v>10</v>
      </c>
      <c r="DS90" s="940">
        <v>0</v>
      </c>
      <c r="DT90" s="941">
        <v>10</v>
      </c>
      <c r="DU90" s="1017">
        <v>4.5</v>
      </c>
      <c r="DV90" s="940">
        <v>0</v>
      </c>
      <c r="DW90" s="941">
        <v>4.5</v>
      </c>
      <c r="DX90" s="1017">
        <v>12</v>
      </c>
      <c r="DY90" s="940">
        <v>0</v>
      </c>
      <c r="DZ90" s="941">
        <v>12</v>
      </c>
      <c r="EB90" s="2841" t="s">
        <v>103</v>
      </c>
      <c r="EC90" s="670"/>
      <c r="ED90" s="670"/>
      <c r="EE90" s="2838"/>
      <c r="EF90" s="462"/>
      <c r="EG90" s="2847">
        <f>DE35</f>
        <v>42</v>
      </c>
      <c r="EH90" s="2850">
        <f>DF35</f>
        <v>60</v>
      </c>
      <c r="EI90" s="439"/>
      <c r="EJ90" s="414">
        <f>DH35</f>
        <v>14</v>
      </c>
      <c r="EK90" s="2851">
        <f>DI35</f>
        <v>25</v>
      </c>
      <c r="EL90" s="414"/>
      <c r="EM90" s="2847">
        <f>DK35</f>
        <v>54</v>
      </c>
      <c r="EN90" s="2851">
        <f>DL35</f>
        <v>86</v>
      </c>
    </row>
    <row r="91" spans="9:144" ht="14.25" thickTop="1" thickBot="1" x14ac:dyDescent="0.25">
      <c r="AQ91" s="613" t="s">
        <v>783</v>
      </c>
      <c r="AR91" s="938">
        <v>-10</v>
      </c>
      <c r="AS91" s="938">
        <v>20</v>
      </c>
      <c r="AT91" s="938">
        <v>80</v>
      </c>
      <c r="BB91" t="s">
        <v>625</v>
      </c>
      <c r="BC91" s="1106">
        <v>8.6999999999999993</v>
      </c>
      <c r="BD91" s="1106">
        <v>91</v>
      </c>
      <c r="BG91" s="188"/>
      <c r="BU91" s="1983" t="s">
        <v>1950</v>
      </c>
      <c r="BV91" s="1963">
        <v>25.6</v>
      </c>
      <c r="BW91" s="1961">
        <v>12.1</v>
      </c>
      <c r="BX91" s="1963">
        <v>2.57</v>
      </c>
      <c r="BY91" s="1963">
        <v>6</v>
      </c>
    </row>
    <row r="92" spans="9:144" ht="13.5" thickTop="1" x14ac:dyDescent="0.2">
      <c r="AQ92" s="613" t="s">
        <v>784</v>
      </c>
      <c r="AR92" s="938">
        <v>20</v>
      </c>
      <c r="AS92" s="938">
        <v>30</v>
      </c>
      <c r="AT92" s="938">
        <v>40</v>
      </c>
      <c r="BB92" t="s">
        <v>187</v>
      </c>
      <c r="BC92" s="1106">
        <v>1.5</v>
      </c>
      <c r="BD92" s="1106">
        <v>17</v>
      </c>
      <c r="BG92" s="188"/>
      <c r="BU92" s="1983" t="s">
        <v>1972</v>
      </c>
      <c r="BV92" s="1963">
        <f>10*18.1/6.25</f>
        <v>28.96</v>
      </c>
      <c r="BW92" s="1961">
        <v>13.3</v>
      </c>
      <c r="BX92" s="1963">
        <v>2.4</v>
      </c>
      <c r="BY92" s="1963">
        <v>4.5</v>
      </c>
      <c r="EF92" s="3450" t="s">
        <v>256</v>
      </c>
      <c r="EG92" s="3451"/>
      <c r="EH92" s="3451"/>
      <c r="EI92" s="3452" t="s">
        <v>257</v>
      </c>
      <c r="EJ92" s="3451"/>
      <c r="EK92" s="3453"/>
      <c r="EL92" s="3451" t="s">
        <v>756</v>
      </c>
      <c r="EM92" s="3451"/>
      <c r="EN92" s="3454"/>
    </row>
    <row r="93" spans="9:144" x14ac:dyDescent="0.2">
      <c r="AQ93" s="613" t="s">
        <v>785</v>
      </c>
      <c r="AR93" s="938">
        <v>30</v>
      </c>
      <c r="AS93" s="938">
        <v>20</v>
      </c>
      <c r="AT93" s="938">
        <v>70</v>
      </c>
      <c r="BG93" s="188"/>
      <c r="BU93" s="1983" t="s">
        <v>1973</v>
      </c>
      <c r="BV93" s="1963">
        <f>10*18.1/6.25</f>
        <v>28.96</v>
      </c>
      <c r="BW93" s="1961">
        <v>13.3</v>
      </c>
      <c r="BX93" s="1963">
        <v>2.4</v>
      </c>
      <c r="BY93" s="1963">
        <v>10</v>
      </c>
      <c r="EB93" s="841" t="s">
        <v>21</v>
      </c>
      <c r="EF93" s="110" t="s">
        <v>249</v>
      </c>
      <c r="EG93" s="36" t="s">
        <v>247</v>
      </c>
      <c r="EH93" s="36"/>
      <c r="EI93" s="35" t="s">
        <v>249</v>
      </c>
      <c r="EJ93" s="36" t="s">
        <v>247</v>
      </c>
      <c r="EK93" s="37"/>
      <c r="EL93" s="36" t="s">
        <v>249</v>
      </c>
      <c r="EM93" s="36" t="s">
        <v>247</v>
      </c>
      <c r="EN93" s="109"/>
    </row>
    <row r="94" spans="9:144" ht="13.5" thickBot="1" x14ac:dyDescent="0.25">
      <c r="AQ94" s="613" t="s">
        <v>786</v>
      </c>
      <c r="AR94" s="938">
        <v>25</v>
      </c>
      <c r="AS94" s="938">
        <v>10</v>
      </c>
      <c r="AT94" s="938">
        <v>50</v>
      </c>
      <c r="AZ94" s="1317" t="str">
        <f ca="1">CELL("adresse",Autonomie!$AA$67)</f>
        <v>'[Bilagreau7 exemple.xlsm]Autonomie'!$AA$67</v>
      </c>
      <c r="BA94" s="1317"/>
      <c r="BB94" s="1317"/>
      <c r="BC94" s="1317"/>
      <c r="BD94" s="1317"/>
      <c r="BE94" s="1317"/>
      <c r="BF94" s="1317"/>
      <c r="BG94" s="1690"/>
      <c r="BU94" s="1983" t="s">
        <v>1974</v>
      </c>
      <c r="BV94" s="1963">
        <f>10*18.1/6.25</f>
        <v>28.96</v>
      </c>
      <c r="BW94" s="1961">
        <v>13.3</v>
      </c>
      <c r="BX94" s="1963">
        <v>2.4</v>
      </c>
      <c r="BY94" s="1963">
        <v>3</v>
      </c>
      <c r="EB94" s="2839" t="s">
        <v>2355</v>
      </c>
      <c r="EF94" s="112" t="s">
        <v>248</v>
      </c>
      <c r="EG94" s="39" t="s">
        <v>246</v>
      </c>
      <c r="EH94" s="39" t="s">
        <v>244</v>
      </c>
      <c r="EI94" s="38" t="s">
        <v>248</v>
      </c>
      <c r="EJ94" s="39" t="s">
        <v>246</v>
      </c>
      <c r="EK94" s="40" t="s">
        <v>244</v>
      </c>
      <c r="EL94" s="39" t="s">
        <v>248</v>
      </c>
      <c r="EM94" s="39" t="s">
        <v>246</v>
      </c>
      <c r="EN94" s="113" t="s">
        <v>244</v>
      </c>
    </row>
    <row r="95" spans="9:144" ht="13.5" thickTop="1" x14ac:dyDescent="0.2">
      <c r="AQ95" s="613" t="s">
        <v>787</v>
      </c>
      <c r="AR95" s="938">
        <v>20</v>
      </c>
      <c r="AS95" s="938">
        <v>20</v>
      </c>
      <c r="AT95" s="938">
        <v>50</v>
      </c>
      <c r="AZ95" s="841" t="s">
        <v>88</v>
      </c>
      <c r="BA95" s="841"/>
      <c r="BB95" s="841"/>
      <c r="BC95" s="841"/>
      <c r="BD95" s="841"/>
      <c r="BE95" s="841"/>
      <c r="BG95" s="188"/>
      <c r="BU95" s="1983" t="s">
        <v>1951</v>
      </c>
      <c r="BV95" s="1963">
        <f>10*20/6.25</f>
        <v>32</v>
      </c>
      <c r="BW95" s="1961">
        <v>11</v>
      </c>
      <c r="BX95" s="1963">
        <v>2.4</v>
      </c>
      <c r="BY95" s="1963">
        <v>8</v>
      </c>
      <c r="EB95" s="2840" t="s">
        <v>102</v>
      </c>
      <c r="EC95" s="2836"/>
      <c r="ED95" s="2836"/>
      <c r="EE95" s="2837"/>
      <c r="EF95" s="2807"/>
      <c r="EG95" s="191">
        <f>DE38</f>
        <v>35</v>
      </c>
      <c r="EH95" s="191">
        <f>DF38</f>
        <v>54</v>
      </c>
      <c r="EI95" s="193"/>
      <c r="EJ95" s="191">
        <f>DH38</f>
        <v>11.5</v>
      </c>
      <c r="EK95" s="191">
        <f>DI38</f>
        <v>24</v>
      </c>
      <c r="EL95" s="194"/>
      <c r="EM95" s="191">
        <f>DK38</f>
        <v>45</v>
      </c>
      <c r="EN95" s="191">
        <f>DL38</f>
        <v>73</v>
      </c>
    </row>
    <row r="96" spans="9:144" ht="13.5" thickBot="1" x14ac:dyDescent="0.25">
      <c r="AQ96" s="613" t="s">
        <v>789</v>
      </c>
      <c r="AR96" s="938">
        <v>35</v>
      </c>
      <c r="AS96" s="938">
        <v>10</v>
      </c>
      <c r="AT96" s="938">
        <v>30</v>
      </c>
      <c r="BB96" t="s">
        <v>379</v>
      </c>
      <c r="BC96" s="576" t="s">
        <v>935</v>
      </c>
      <c r="BD96" s="576" t="s">
        <v>936</v>
      </c>
      <c r="BE96" s="576" t="s">
        <v>937</v>
      </c>
      <c r="BG96" s="188"/>
      <c r="BU96" s="1983" t="s">
        <v>1952</v>
      </c>
      <c r="BV96" s="1963">
        <f>10*18/6.25</f>
        <v>28.8</v>
      </c>
      <c r="BW96" s="1961">
        <v>14.4</v>
      </c>
      <c r="BX96" s="1963">
        <v>2.4</v>
      </c>
      <c r="BY96" s="1963">
        <v>7</v>
      </c>
      <c r="EB96" s="2841" t="s">
        <v>103</v>
      </c>
      <c r="EC96" s="670"/>
      <c r="ED96" s="670"/>
      <c r="EE96" s="2838"/>
      <c r="EF96" s="462"/>
      <c r="EG96" s="2847">
        <f>DE29</f>
        <v>26</v>
      </c>
      <c r="EH96" s="2847">
        <f>DF29</f>
        <v>48</v>
      </c>
      <c r="EI96" s="439"/>
      <c r="EJ96" s="2847">
        <f>DH29</f>
        <v>8.5</v>
      </c>
      <c r="EK96" s="2847">
        <f>DI29</f>
        <v>24</v>
      </c>
      <c r="EL96" s="414"/>
      <c r="EM96" s="2847">
        <f>DK29</f>
        <v>36</v>
      </c>
      <c r="EN96" s="2847">
        <f>DL29</f>
        <v>73</v>
      </c>
    </row>
    <row r="97" spans="43:77" ht="13.5" thickTop="1" x14ac:dyDescent="0.2">
      <c r="AQ97" s="613" t="s">
        <v>788</v>
      </c>
      <c r="AR97" s="938">
        <v>50</v>
      </c>
      <c r="AS97" s="938">
        <v>15</v>
      </c>
      <c r="AT97" s="938">
        <v>35</v>
      </c>
      <c r="BB97" t="s">
        <v>538</v>
      </c>
      <c r="BC97" s="1106">
        <v>4900</v>
      </c>
      <c r="BD97" s="1106">
        <v>5200</v>
      </c>
      <c r="BE97" s="1106">
        <v>5500</v>
      </c>
      <c r="BG97" s="188"/>
      <c r="BU97" s="1983" t="s">
        <v>1953</v>
      </c>
      <c r="BV97" s="1963">
        <f>10*21/6.25</f>
        <v>33.6</v>
      </c>
      <c r="BW97" s="1961">
        <v>9.8000000000000007</v>
      </c>
      <c r="BX97" s="1963">
        <v>2.4</v>
      </c>
      <c r="BY97" s="1963">
        <v>4</v>
      </c>
    </row>
    <row r="98" spans="43:77" x14ac:dyDescent="0.2">
      <c r="AQ98" s="613" t="s">
        <v>854</v>
      </c>
      <c r="AR98" s="938">
        <v>25</v>
      </c>
      <c r="AS98" s="938">
        <v>0</v>
      </c>
      <c r="AT98" s="938">
        <v>0</v>
      </c>
      <c r="BB98" t="s">
        <v>219</v>
      </c>
      <c r="BC98" s="1106">
        <v>4000</v>
      </c>
      <c r="BD98" s="1106">
        <v>4100</v>
      </c>
      <c r="BE98" s="1106">
        <v>4400</v>
      </c>
      <c r="BG98" s="188"/>
      <c r="BU98" s="1983" t="s">
        <v>1954</v>
      </c>
      <c r="BV98" s="1963">
        <f>10*17.5/6.25</f>
        <v>28</v>
      </c>
      <c r="BW98" s="1961">
        <v>9.8000000000000007</v>
      </c>
      <c r="BX98" s="1963">
        <v>2.4</v>
      </c>
      <c r="BY98" s="1963">
        <v>4</v>
      </c>
    </row>
    <row r="99" spans="43:77" x14ac:dyDescent="0.2">
      <c r="BB99" t="s">
        <v>625</v>
      </c>
      <c r="BC99" s="1106">
        <v>120</v>
      </c>
      <c r="BD99" s="1106">
        <v>127</v>
      </c>
      <c r="BE99" s="1106">
        <v>137</v>
      </c>
      <c r="BG99" s="188"/>
      <c r="BU99" s="1983" t="s">
        <v>1955</v>
      </c>
      <c r="BV99" s="1963">
        <f>10*24.4/6.25</f>
        <v>39.04</v>
      </c>
      <c r="BW99" s="1961">
        <v>10</v>
      </c>
      <c r="BX99" s="1963">
        <v>2.4</v>
      </c>
      <c r="BY99" s="1963">
        <v>4</v>
      </c>
    </row>
    <row r="100" spans="43:77" x14ac:dyDescent="0.2">
      <c r="AQ100" s="1470" t="str">
        <f ca="1">CELL("adresse",Ferti_Cultures!AJ36)</f>
        <v>'[Bilagreau7 exemple.xlsm]Ferti_Cultures'!$AJ$36</v>
      </c>
      <c r="AR100" s="841" t="s">
        <v>38</v>
      </c>
      <c r="AS100" s="841"/>
      <c r="AT100" s="841"/>
      <c r="AU100" s="841"/>
      <c r="AV100" s="841"/>
      <c r="AW100" s="630"/>
      <c r="AX100" s="630"/>
      <c r="BB100" t="s">
        <v>187</v>
      </c>
      <c r="BC100" s="1106">
        <v>25</v>
      </c>
      <c r="BD100" s="1106">
        <v>26</v>
      </c>
      <c r="BE100" s="1106">
        <v>28</v>
      </c>
      <c r="BG100" s="188"/>
      <c r="BU100" s="1983" t="s">
        <v>1956</v>
      </c>
      <c r="BV100" s="1963">
        <f>10*20.8/6.25</f>
        <v>33.28</v>
      </c>
      <c r="BW100" s="1961">
        <v>15</v>
      </c>
      <c r="BX100" s="1963">
        <v>2.4</v>
      </c>
      <c r="BY100" s="1963">
        <v>4</v>
      </c>
    </row>
    <row r="101" spans="43:77" ht="58.5" customHeight="1" x14ac:dyDescent="0.2">
      <c r="AQ101" s="2147" t="s">
        <v>2313</v>
      </c>
      <c r="AR101" s="1165" t="s">
        <v>2385</v>
      </c>
      <c r="AS101" s="1165" t="s">
        <v>2386</v>
      </c>
      <c r="AT101" s="1165" t="s">
        <v>2387</v>
      </c>
      <c r="AU101" s="1165" t="s">
        <v>2388</v>
      </c>
      <c r="AV101" s="2925" t="s">
        <v>2389</v>
      </c>
      <c r="AW101" s="2926" t="s">
        <v>2393</v>
      </c>
      <c r="AX101" s="2926" t="s">
        <v>2394</v>
      </c>
      <c r="BG101" s="188"/>
      <c r="BU101" s="1983" t="s">
        <v>1957</v>
      </c>
      <c r="BV101" s="1963">
        <f>10*22.4/6.25</f>
        <v>35.840000000000003</v>
      </c>
      <c r="BW101" s="1961">
        <v>12.1</v>
      </c>
      <c r="BX101" s="1963">
        <v>2.4</v>
      </c>
      <c r="BY101" s="1963">
        <v>7</v>
      </c>
    </row>
    <row r="102" spans="43:77" x14ac:dyDescent="0.2">
      <c r="AQ102" s="828" t="str">
        <f t="shared" ref="AQ102:AQ127" si="20">IF(ISBLANK(AQ7),"",AQ7)</f>
        <v>Blé tendre</v>
      </c>
      <c r="AR102" s="938">
        <v>50</v>
      </c>
      <c r="AS102" s="938">
        <v>60</v>
      </c>
      <c r="AT102" s="938">
        <v>60</v>
      </c>
      <c r="AU102" s="938">
        <v>80</v>
      </c>
      <c r="AV102" s="938">
        <v>100</v>
      </c>
      <c r="AW102" s="938">
        <v>90</v>
      </c>
      <c r="AX102" s="938">
        <v>70</v>
      </c>
      <c r="AZ102" s="1317" t="str">
        <f ca="1">CELL("adresse",Autonomie!$AI$74)</f>
        <v>'[Bilagreau7 exemple.xlsm]Autonomie'!$AI$74</v>
      </c>
      <c r="BA102" s="1317"/>
      <c r="BB102" s="1317"/>
      <c r="BC102" s="1317"/>
      <c r="BD102" s="1317"/>
      <c r="BE102" s="1317"/>
      <c r="BF102" s="1317"/>
      <c r="BG102" s="1690"/>
      <c r="BU102" s="1983" t="s">
        <v>1958</v>
      </c>
      <c r="BV102" s="1963">
        <f>10*23.5/6.25</f>
        <v>37.6</v>
      </c>
      <c r="BW102" s="1961">
        <v>11.7</v>
      </c>
      <c r="BX102" s="1963">
        <v>2.4</v>
      </c>
      <c r="BY102" s="1963">
        <v>7</v>
      </c>
    </row>
    <row r="103" spans="43:77" x14ac:dyDescent="0.2">
      <c r="AQ103" s="828" t="str">
        <f t="shared" si="20"/>
        <v>Blé améliorant et blé dur</v>
      </c>
      <c r="AR103" s="938">
        <v>50</v>
      </c>
      <c r="AS103" s="938">
        <v>60</v>
      </c>
      <c r="AT103" s="938">
        <v>60</v>
      </c>
      <c r="AU103" s="938">
        <v>80</v>
      </c>
      <c r="AV103" s="938">
        <v>100</v>
      </c>
      <c r="AW103" s="938">
        <v>90</v>
      </c>
      <c r="AX103" s="938">
        <v>70</v>
      </c>
      <c r="AZ103" s="841" t="s">
        <v>89</v>
      </c>
      <c r="BA103" s="841"/>
      <c r="BB103" s="841"/>
      <c r="BC103" s="841"/>
      <c r="BD103" s="841"/>
      <c r="BE103" s="841"/>
      <c r="BU103" s="1983" t="s">
        <v>1959</v>
      </c>
      <c r="BV103" s="1963">
        <f>10*11.3/6.25</f>
        <v>18.079999999999998</v>
      </c>
      <c r="BW103" s="1961">
        <v>4.9000000000000004</v>
      </c>
      <c r="BX103" s="1963">
        <v>1.44</v>
      </c>
      <c r="BY103" s="630">
        <v>0</v>
      </c>
    </row>
    <row r="104" spans="43:77" x14ac:dyDescent="0.2">
      <c r="AQ104" s="828" t="str">
        <f t="shared" si="20"/>
        <v>Triticale</v>
      </c>
      <c r="AR104" s="938">
        <v>50</v>
      </c>
      <c r="AS104" s="938">
        <v>60</v>
      </c>
      <c r="AT104" s="938">
        <v>60</v>
      </c>
      <c r="AU104" s="938">
        <v>80</v>
      </c>
      <c r="AV104" s="938">
        <v>100</v>
      </c>
      <c r="AW104" s="938">
        <v>90</v>
      </c>
      <c r="AX104" s="938">
        <v>70</v>
      </c>
      <c r="BB104" t="s">
        <v>66</v>
      </c>
      <c r="BC104" s="576" t="s">
        <v>935</v>
      </c>
      <c r="BD104" s="576" t="s">
        <v>936</v>
      </c>
      <c r="BE104" s="576" t="s">
        <v>937</v>
      </c>
      <c r="BF104" s="1612" t="s">
        <v>1311</v>
      </c>
      <c r="BG104" s="1518" t="s">
        <v>1312</v>
      </c>
      <c r="BU104" s="1983" t="s">
        <v>1960</v>
      </c>
      <c r="BV104" s="1963">
        <v>32</v>
      </c>
      <c r="BW104" s="1961">
        <v>15</v>
      </c>
      <c r="BX104" s="1963">
        <v>6</v>
      </c>
      <c r="BY104" s="1963">
        <v>12</v>
      </c>
    </row>
    <row r="105" spans="43:77" x14ac:dyDescent="0.2">
      <c r="AQ105" s="828" t="str">
        <f t="shared" si="20"/>
        <v>Orge, seigle, avoine</v>
      </c>
      <c r="AR105" s="938">
        <v>40</v>
      </c>
      <c r="AS105" s="938">
        <v>50</v>
      </c>
      <c r="AT105" s="938">
        <v>60</v>
      </c>
      <c r="AU105" s="938">
        <v>80</v>
      </c>
      <c r="AV105" s="938">
        <v>100</v>
      </c>
      <c r="AW105" s="938">
        <v>90</v>
      </c>
      <c r="AX105" s="938">
        <v>70</v>
      </c>
      <c r="BB105" t="s">
        <v>538</v>
      </c>
      <c r="BC105" s="1106">
        <v>1200</v>
      </c>
      <c r="BD105" s="1106">
        <v>1300</v>
      </c>
      <c r="BE105" s="1106">
        <v>1400</v>
      </c>
      <c r="BF105" s="1614">
        <v>600</v>
      </c>
      <c r="BG105" s="1614">
        <v>-600</v>
      </c>
    </row>
    <row r="106" spans="43:77" x14ac:dyDescent="0.2">
      <c r="AQ106" s="828" t="str">
        <f t="shared" si="20"/>
        <v>Maïs grain</v>
      </c>
      <c r="AR106" s="938">
        <v>70</v>
      </c>
      <c r="AS106" s="938">
        <v>80</v>
      </c>
      <c r="AT106" s="938">
        <v>60</v>
      </c>
      <c r="AU106" s="938">
        <v>80</v>
      </c>
      <c r="AV106" s="938">
        <v>100</v>
      </c>
      <c r="AW106" s="938">
        <v>90</v>
      </c>
      <c r="AX106" s="938">
        <v>70</v>
      </c>
      <c r="BB106" t="s">
        <v>219</v>
      </c>
      <c r="BC106" s="1106">
        <v>950</v>
      </c>
      <c r="BD106" s="1106">
        <v>1000</v>
      </c>
      <c r="BE106" s="1106">
        <v>1100</v>
      </c>
      <c r="BF106" s="1614">
        <v>530</v>
      </c>
      <c r="BG106" s="1614">
        <v>-530</v>
      </c>
    </row>
    <row r="107" spans="43:77" x14ac:dyDescent="0.2">
      <c r="AQ107" s="828" t="str">
        <f t="shared" si="20"/>
        <v>Maïs ensilage</v>
      </c>
      <c r="AR107" s="938">
        <v>70</v>
      </c>
      <c r="AS107" s="938">
        <v>80</v>
      </c>
      <c r="AT107" s="938">
        <v>60</v>
      </c>
      <c r="AU107" s="938">
        <v>80</v>
      </c>
      <c r="AV107" s="938">
        <v>100</v>
      </c>
      <c r="AW107" s="938">
        <v>90</v>
      </c>
      <c r="AX107" s="938">
        <v>70</v>
      </c>
      <c r="BB107" t="s">
        <v>625</v>
      </c>
      <c r="BC107" s="1106">
        <v>32</v>
      </c>
      <c r="BD107" s="1106">
        <v>34</v>
      </c>
      <c r="BE107" s="1106">
        <v>37</v>
      </c>
      <c r="BF107" s="1614">
        <v>17</v>
      </c>
      <c r="BG107" s="1614">
        <v>-17</v>
      </c>
    </row>
    <row r="108" spans="43:77" x14ac:dyDescent="0.2">
      <c r="AQ108" s="828" t="str">
        <f t="shared" si="20"/>
        <v>Colza</v>
      </c>
      <c r="AR108" s="938">
        <v>40</v>
      </c>
      <c r="AS108" s="938">
        <v>50</v>
      </c>
      <c r="AT108" s="938">
        <v>60</v>
      </c>
      <c r="AU108" s="938">
        <v>80</v>
      </c>
      <c r="AV108" s="938">
        <v>100</v>
      </c>
      <c r="AW108" s="938">
        <v>90</v>
      </c>
      <c r="AX108" s="938">
        <v>70</v>
      </c>
      <c r="BB108" t="s">
        <v>187</v>
      </c>
      <c r="BC108" s="1106">
        <v>9</v>
      </c>
      <c r="BD108" s="1106">
        <v>9.5</v>
      </c>
      <c r="BE108" s="1106">
        <v>10.5</v>
      </c>
      <c r="BF108" s="1614">
        <v>3</v>
      </c>
      <c r="BG108" s="1614">
        <v>-3</v>
      </c>
    </row>
    <row r="109" spans="43:77" x14ac:dyDescent="0.2">
      <c r="AQ109" s="828" t="str">
        <f t="shared" si="20"/>
        <v>Tournesol</v>
      </c>
      <c r="AR109" s="938">
        <v>55</v>
      </c>
      <c r="AS109" s="938">
        <v>70</v>
      </c>
      <c r="AT109" s="938">
        <v>60</v>
      </c>
      <c r="AU109" s="938">
        <v>80</v>
      </c>
      <c r="AV109" s="938">
        <v>100</v>
      </c>
      <c r="AW109" s="938">
        <v>90</v>
      </c>
      <c r="AX109" s="938">
        <v>70</v>
      </c>
    </row>
    <row r="110" spans="43:77" x14ac:dyDescent="0.2">
      <c r="AQ110" s="828" t="str">
        <f t="shared" si="20"/>
        <v>Sorgho grain et ensilage</v>
      </c>
      <c r="AR110" s="938">
        <v>70</v>
      </c>
      <c r="AS110" s="938">
        <v>80</v>
      </c>
      <c r="AT110" s="938">
        <v>60</v>
      </c>
      <c r="AU110" s="938">
        <v>80</v>
      </c>
      <c r="AV110" s="938">
        <v>100</v>
      </c>
      <c r="AW110" s="938">
        <v>90</v>
      </c>
      <c r="AX110" s="938">
        <v>70</v>
      </c>
      <c r="AZ110" s="1317" t="str">
        <f ca="1">CELL("adresse",Autonomie!$AQ$74)</f>
        <v>'[Bilagreau7 exemple.xlsm]Autonomie'!$AQ$74</v>
      </c>
      <c r="BA110" s="1317"/>
      <c r="BB110" s="1317"/>
      <c r="BC110" s="1317"/>
      <c r="BD110" s="1317"/>
      <c r="BE110" s="1317"/>
      <c r="BF110" s="1317"/>
      <c r="BG110" s="1594"/>
    </row>
    <row r="111" spans="43:77" x14ac:dyDescent="0.2">
      <c r="AQ111" s="828" t="str">
        <f t="shared" si="20"/>
        <v>Soja</v>
      </c>
      <c r="AR111" s="938">
        <v>60</v>
      </c>
      <c r="AS111" s="938">
        <v>60</v>
      </c>
      <c r="AT111" s="938">
        <v>60</v>
      </c>
      <c r="AU111" s="938">
        <v>80</v>
      </c>
      <c r="AV111" s="938">
        <v>100</v>
      </c>
      <c r="AW111" s="938">
        <v>90</v>
      </c>
      <c r="AX111" s="938">
        <v>70</v>
      </c>
      <c r="AZ111" s="841" t="s">
        <v>90</v>
      </c>
      <c r="BA111" s="841"/>
      <c r="BB111" s="841"/>
      <c r="BC111" s="841"/>
      <c r="BD111" s="841"/>
      <c r="BE111" s="841"/>
    </row>
    <row r="112" spans="43:77" x14ac:dyDescent="0.2">
      <c r="AQ112" s="828" t="str">
        <f t="shared" si="20"/>
        <v>Lupin</v>
      </c>
      <c r="AR112" s="938">
        <v>60</v>
      </c>
      <c r="AS112" s="938">
        <v>60</v>
      </c>
      <c r="AT112" s="938">
        <v>60</v>
      </c>
      <c r="AU112" s="938">
        <v>80</v>
      </c>
      <c r="AV112" s="938">
        <v>100</v>
      </c>
      <c r="AW112" s="938">
        <v>90</v>
      </c>
      <c r="AX112" s="938">
        <v>70</v>
      </c>
      <c r="BB112" t="s">
        <v>67</v>
      </c>
      <c r="BC112" s="576" t="s">
        <v>935</v>
      </c>
      <c r="BD112" s="576" t="s">
        <v>936</v>
      </c>
      <c r="BE112" s="576" t="s">
        <v>937</v>
      </c>
    </row>
    <row r="113" spans="43:59" x14ac:dyDescent="0.2">
      <c r="AQ113" s="828" t="str">
        <f t="shared" si="20"/>
        <v>Pois, féverole, haricot</v>
      </c>
      <c r="AR113" s="938">
        <v>60</v>
      </c>
      <c r="AS113" s="938">
        <v>60</v>
      </c>
      <c r="AT113" s="938">
        <v>60</v>
      </c>
      <c r="AU113" s="938">
        <v>80</v>
      </c>
      <c r="AV113" s="938">
        <v>100</v>
      </c>
      <c r="AW113" s="938">
        <v>90</v>
      </c>
      <c r="AX113" s="938">
        <v>70</v>
      </c>
      <c r="BB113" t="s">
        <v>538</v>
      </c>
      <c r="BC113" s="1106">
        <v>2700</v>
      </c>
      <c r="BD113" s="1106">
        <v>2850</v>
      </c>
      <c r="BE113" s="1106">
        <v>3200</v>
      </c>
    </row>
    <row r="114" spans="43:59" x14ac:dyDescent="0.2">
      <c r="AQ114" s="828" t="str">
        <f t="shared" si="20"/>
        <v>Luzerne</v>
      </c>
      <c r="AR114" s="938">
        <v>80</v>
      </c>
      <c r="AS114" s="938">
        <v>80</v>
      </c>
      <c r="AT114" s="938">
        <v>60</v>
      </c>
      <c r="AU114" s="938">
        <v>80</v>
      </c>
      <c r="AV114" s="938">
        <v>100</v>
      </c>
      <c r="AW114" s="938">
        <v>90</v>
      </c>
      <c r="AX114" s="938">
        <v>70</v>
      </c>
      <c r="BB114" t="s">
        <v>219</v>
      </c>
      <c r="BC114" s="1106">
        <v>2000</v>
      </c>
      <c r="BD114" s="1106">
        <v>2100</v>
      </c>
      <c r="BE114" s="1106">
        <v>2200</v>
      </c>
    </row>
    <row r="115" spans="43:59" x14ac:dyDescent="0.2">
      <c r="AQ115" s="828" t="str">
        <f t="shared" si="20"/>
        <v>Trèfle violet</v>
      </c>
      <c r="AR115" s="938">
        <v>60</v>
      </c>
      <c r="AS115" s="938">
        <v>60</v>
      </c>
      <c r="AT115" s="938">
        <v>60</v>
      </c>
      <c r="AU115" s="938">
        <v>80</v>
      </c>
      <c r="AV115" s="938">
        <v>100</v>
      </c>
      <c r="AW115" s="938">
        <v>90</v>
      </c>
      <c r="AX115" s="938">
        <v>70</v>
      </c>
      <c r="BB115" t="s">
        <v>625</v>
      </c>
      <c r="BC115" s="1106">
        <v>65</v>
      </c>
      <c r="BD115" s="1106">
        <v>68</v>
      </c>
      <c r="BE115" s="1106">
        <v>77</v>
      </c>
    </row>
    <row r="116" spans="43:59" x14ac:dyDescent="0.2">
      <c r="AQ116" s="828" t="str">
        <f t="shared" si="20"/>
        <v>Betteraves sucrières</v>
      </c>
      <c r="AR116" s="938">
        <v>70</v>
      </c>
      <c r="AS116" s="938">
        <v>80</v>
      </c>
      <c r="AT116" s="938">
        <v>60</v>
      </c>
      <c r="AU116" s="938">
        <v>80</v>
      </c>
      <c r="AV116" s="938">
        <v>100</v>
      </c>
      <c r="AW116" s="938">
        <v>90</v>
      </c>
      <c r="AX116" s="938">
        <v>70</v>
      </c>
      <c r="BB116" t="s">
        <v>187</v>
      </c>
      <c r="BC116" s="1106">
        <v>12</v>
      </c>
      <c r="BD116" s="1106">
        <v>13</v>
      </c>
      <c r="BE116" s="1106">
        <v>14.5</v>
      </c>
    </row>
    <row r="117" spans="43:59" x14ac:dyDescent="0.2">
      <c r="AQ117" s="828" t="str">
        <f t="shared" si="20"/>
        <v>Betteraves fourragères</v>
      </c>
      <c r="AR117" s="938">
        <v>70</v>
      </c>
      <c r="AS117" s="938">
        <v>80</v>
      </c>
      <c r="AT117" s="938">
        <v>60</v>
      </c>
      <c r="AU117" s="938">
        <v>80</v>
      </c>
      <c r="AV117" s="938">
        <v>100</v>
      </c>
      <c r="AW117" s="938">
        <v>90</v>
      </c>
      <c r="AX117" s="938">
        <v>70</v>
      </c>
    </row>
    <row r="118" spans="43:59" x14ac:dyDescent="0.2">
      <c r="AQ118" s="828" t="str">
        <f t="shared" si="20"/>
        <v>Crucifères fourragères</v>
      </c>
      <c r="AR118" s="938">
        <v>20</v>
      </c>
      <c r="AS118" s="938">
        <v>25</v>
      </c>
      <c r="AT118" s="938">
        <v>60</v>
      </c>
      <c r="AU118" s="938">
        <v>80</v>
      </c>
      <c r="AV118" s="938">
        <v>100</v>
      </c>
      <c r="AW118" s="938">
        <v>90</v>
      </c>
      <c r="AX118" s="938">
        <v>70</v>
      </c>
      <c r="AZ118" s="1317" t="str">
        <f ca="1">CELL("adresse",Autonomie!$AV$74)</f>
        <v>'[Bilagreau7 exemple.xlsm]Autonomie'!$AV$74</v>
      </c>
      <c r="BA118" s="1317"/>
      <c r="BB118" s="1317"/>
      <c r="BC118" s="1317"/>
      <c r="BD118" s="1317"/>
      <c r="BE118" s="1317"/>
      <c r="BF118" s="1317"/>
      <c r="BG118" s="1594"/>
    </row>
    <row r="119" spans="43:59" x14ac:dyDescent="0.2">
      <c r="AQ119" s="828" t="str">
        <f t="shared" si="20"/>
        <v>Lin graine</v>
      </c>
      <c r="AR119" s="938">
        <v>50</v>
      </c>
      <c r="AS119" s="938">
        <v>70</v>
      </c>
      <c r="AT119" s="938">
        <v>60</v>
      </c>
      <c r="AU119" s="938">
        <v>80</v>
      </c>
      <c r="AV119" s="938">
        <v>100</v>
      </c>
      <c r="AW119" s="938">
        <v>90</v>
      </c>
      <c r="AX119" s="938">
        <v>70</v>
      </c>
      <c r="AZ119" s="841" t="s">
        <v>91</v>
      </c>
      <c r="BA119" s="841"/>
      <c r="BB119" s="841"/>
      <c r="BC119" s="841"/>
      <c r="BD119" s="841"/>
      <c r="BE119" s="841"/>
    </row>
    <row r="120" spans="43:59" x14ac:dyDescent="0.2">
      <c r="AQ120" s="828" t="str">
        <f t="shared" si="20"/>
        <v>Lin fibre</v>
      </c>
      <c r="AR120" s="938">
        <v>50</v>
      </c>
      <c r="AS120" s="938">
        <v>70</v>
      </c>
      <c r="AT120" s="938">
        <v>60</v>
      </c>
      <c r="AU120" s="938">
        <v>80</v>
      </c>
      <c r="AV120" s="938">
        <v>100</v>
      </c>
      <c r="AW120" s="938">
        <v>90</v>
      </c>
      <c r="AX120" s="938">
        <v>70</v>
      </c>
      <c r="BB120" t="s">
        <v>68</v>
      </c>
      <c r="BC120" s="763" t="s">
        <v>372</v>
      </c>
      <c r="BD120" s="763"/>
      <c r="BE120" s="763"/>
    </row>
    <row r="121" spans="43:59" x14ac:dyDescent="0.2">
      <c r="AQ121" s="828" t="str">
        <f t="shared" si="20"/>
        <v>Chanvre</v>
      </c>
      <c r="AR121" s="938">
        <v>65</v>
      </c>
      <c r="AS121" s="938">
        <v>75</v>
      </c>
      <c r="AT121" s="938">
        <v>60</v>
      </c>
      <c r="AU121" s="938">
        <v>80</v>
      </c>
      <c r="AV121" s="938">
        <v>100</v>
      </c>
      <c r="AW121" s="938">
        <v>90</v>
      </c>
      <c r="AX121" s="938">
        <v>70</v>
      </c>
      <c r="BB121" t="s">
        <v>538</v>
      </c>
      <c r="BC121" s="1106">
        <v>1900</v>
      </c>
      <c r="BD121" s="1106">
        <v>2100</v>
      </c>
      <c r="BE121" s="1106">
        <v>2300</v>
      </c>
    </row>
    <row r="122" spans="43:59" x14ac:dyDescent="0.2">
      <c r="AQ122" s="828" t="str">
        <f t="shared" si="20"/>
        <v>Choux fleurs récolte automne</v>
      </c>
      <c r="AR122" s="938">
        <v>70</v>
      </c>
      <c r="AS122" s="938">
        <v>70</v>
      </c>
      <c r="AT122" s="938">
        <v>60</v>
      </c>
      <c r="AU122" s="938">
        <v>80</v>
      </c>
      <c r="AV122" s="938">
        <v>100</v>
      </c>
      <c r="AW122" s="938">
        <v>90</v>
      </c>
      <c r="AX122" s="938">
        <v>70</v>
      </c>
      <c r="BB122" t="s">
        <v>219</v>
      </c>
      <c r="BC122" s="1106">
        <v>1450</v>
      </c>
      <c r="BD122" s="1106">
        <v>1600</v>
      </c>
      <c r="BE122" s="1106">
        <v>1800</v>
      </c>
    </row>
    <row r="123" spans="43:59" x14ac:dyDescent="0.2">
      <c r="AQ123" s="828" t="str">
        <f t="shared" si="20"/>
        <v>Choux fleurs récolte fin hiver</v>
      </c>
      <c r="AR123" s="938">
        <v>70</v>
      </c>
      <c r="AS123" s="938">
        <v>70</v>
      </c>
      <c r="AT123" s="938">
        <v>60</v>
      </c>
      <c r="AU123" s="938">
        <v>80</v>
      </c>
      <c r="AV123" s="938">
        <v>100</v>
      </c>
      <c r="AW123" s="938">
        <v>90</v>
      </c>
      <c r="AX123" s="938">
        <v>70</v>
      </c>
      <c r="BB123" t="s">
        <v>625</v>
      </c>
      <c r="BC123" s="1106">
        <v>48</v>
      </c>
      <c r="BD123" s="1106">
        <v>51</v>
      </c>
      <c r="BE123" s="1106">
        <v>55</v>
      </c>
    </row>
    <row r="124" spans="43:59" x14ac:dyDescent="0.2">
      <c r="AQ124" s="828" t="str">
        <f t="shared" si="20"/>
        <v>Haricot vert conserve</v>
      </c>
      <c r="AR124" s="938">
        <v>80</v>
      </c>
      <c r="AS124" s="938">
        <v>80</v>
      </c>
      <c r="AT124" s="938">
        <v>60</v>
      </c>
      <c r="AU124" s="938">
        <v>80</v>
      </c>
      <c r="AV124" s="938">
        <v>100</v>
      </c>
      <c r="AW124" s="938">
        <v>90</v>
      </c>
      <c r="AX124" s="938">
        <v>70</v>
      </c>
      <c r="BB124" t="s">
        <v>187</v>
      </c>
      <c r="BC124" s="1106">
        <v>13</v>
      </c>
      <c r="BD124" s="1106">
        <v>14</v>
      </c>
      <c r="BE124" s="1106">
        <v>15</v>
      </c>
    </row>
    <row r="125" spans="43:59" x14ac:dyDescent="0.2">
      <c r="AQ125" s="828" t="str">
        <f t="shared" si="20"/>
        <v>Pois de conserve</v>
      </c>
      <c r="AR125" s="938">
        <v>80</v>
      </c>
      <c r="AS125" s="938">
        <v>80</v>
      </c>
      <c r="AT125" s="938">
        <v>60</v>
      </c>
      <c r="AU125" s="938">
        <v>80</v>
      </c>
      <c r="AV125" s="938">
        <v>100</v>
      </c>
      <c r="AW125" s="938">
        <v>90</v>
      </c>
      <c r="AX125" s="938">
        <v>70</v>
      </c>
      <c r="BB125" t="s">
        <v>68</v>
      </c>
      <c r="BC125" s="763" t="s">
        <v>373</v>
      </c>
      <c r="BD125" s="763"/>
      <c r="BE125" s="763"/>
    </row>
    <row r="126" spans="43:59" x14ac:dyDescent="0.2">
      <c r="AQ126" s="828" t="str">
        <f t="shared" si="20"/>
        <v>Pomme de terre de plein champ</v>
      </c>
      <c r="AR126" s="938">
        <v>65</v>
      </c>
      <c r="AS126" s="938">
        <v>75</v>
      </c>
      <c r="AT126" s="938">
        <v>60</v>
      </c>
      <c r="AU126" s="938">
        <v>80</v>
      </c>
      <c r="AV126" s="938">
        <v>100</v>
      </c>
      <c r="AW126" s="938">
        <v>90</v>
      </c>
      <c r="AX126" s="938">
        <v>70</v>
      </c>
      <c r="BB126" t="s">
        <v>538</v>
      </c>
      <c r="BC126" s="1106">
        <v>3400</v>
      </c>
      <c r="BD126" s="1106">
        <v>3550</v>
      </c>
      <c r="BE126" s="1106">
        <v>3700</v>
      </c>
    </row>
    <row r="127" spans="43:59" x14ac:dyDescent="0.2">
      <c r="AQ127" s="828" t="str">
        <f t="shared" si="20"/>
        <v>Pomme de terre fécule</v>
      </c>
      <c r="AR127" s="938">
        <v>65</v>
      </c>
      <c r="AS127" s="938">
        <v>75</v>
      </c>
      <c r="AT127" s="938">
        <v>60</v>
      </c>
      <c r="AU127" s="938">
        <v>80</v>
      </c>
      <c r="AV127" s="938">
        <v>100</v>
      </c>
      <c r="AW127" s="938">
        <v>90</v>
      </c>
      <c r="AX127" s="938">
        <v>70</v>
      </c>
      <c r="BB127" t="s">
        <v>219</v>
      </c>
      <c r="BC127" s="1106">
        <v>2600</v>
      </c>
      <c r="BD127" s="1106">
        <v>2700</v>
      </c>
      <c r="BE127" s="1106">
        <v>2850</v>
      </c>
    </row>
    <row r="128" spans="43:59" x14ac:dyDescent="0.2">
      <c r="AQ128" s="1469" t="str">
        <f ca="1">CELL("adresse",Ferti_Cultures!AG45)</f>
        <v>'[Bilagreau7 exemple.xlsm]Ferti_Cultures'!$AG$45</v>
      </c>
      <c r="AR128" s="821" t="s">
        <v>35</v>
      </c>
      <c r="AS128" s="821"/>
      <c r="AT128" s="821"/>
      <c r="AU128" s="821"/>
      <c r="AV128" s="821"/>
      <c r="AW128" s="821"/>
      <c r="AX128" s="821"/>
      <c r="BB128" t="s">
        <v>625</v>
      </c>
      <c r="BC128" s="1106">
        <v>81</v>
      </c>
      <c r="BD128" s="1106">
        <v>84</v>
      </c>
      <c r="BE128" s="1106">
        <v>89</v>
      </c>
    </row>
    <row r="129" spans="43:59" x14ac:dyDescent="0.2">
      <c r="AQ129" s="1450" t="s">
        <v>893</v>
      </c>
      <c r="AR129" s="1468" t="s">
        <v>895</v>
      </c>
      <c r="AS129" s="1468" t="s">
        <v>895</v>
      </c>
      <c r="AT129" s="1468" t="s">
        <v>247</v>
      </c>
      <c r="AU129" s="1468" t="s">
        <v>247</v>
      </c>
      <c r="BB129" t="s">
        <v>187</v>
      </c>
      <c r="BC129" s="1106">
        <v>15</v>
      </c>
      <c r="BD129" s="1106">
        <v>15</v>
      </c>
      <c r="BE129" s="1106">
        <v>15</v>
      </c>
    </row>
    <row r="130" spans="43:59" x14ac:dyDescent="0.2">
      <c r="AQ130" s="1450" t="s">
        <v>894</v>
      </c>
      <c r="AR130" s="1468" t="s">
        <v>895</v>
      </c>
      <c r="AS130" s="1468" t="s">
        <v>247</v>
      </c>
      <c r="AT130" s="1468" t="s">
        <v>895</v>
      </c>
      <c r="AU130" s="1468" t="s">
        <v>247</v>
      </c>
    </row>
    <row r="131" spans="43:59" x14ac:dyDescent="0.2">
      <c r="AQ131" s="1450"/>
      <c r="AR131" s="1468"/>
      <c r="AS131" s="1468"/>
      <c r="AT131" s="1450"/>
      <c r="AU131" s="1450"/>
      <c r="AZ131" s="1317" t="str">
        <f ca="1">CELL("adresse",Autonomie!$AI$82)</f>
        <v>'[Bilagreau7 exemple.xlsm]Autonomie'!$AI$82</v>
      </c>
      <c r="BA131" s="1317"/>
      <c r="BB131" s="1317"/>
      <c r="BC131" s="1317"/>
      <c r="BD131" s="1317"/>
      <c r="BE131" s="1317"/>
      <c r="BF131" s="1317"/>
      <c r="BG131" s="1594"/>
    </row>
    <row r="132" spans="43:59" x14ac:dyDescent="0.2">
      <c r="AQ132" s="1450"/>
      <c r="AR132" s="938">
        <v>10</v>
      </c>
      <c r="AS132" s="1450"/>
      <c r="AT132" s="938">
        <v>0</v>
      </c>
      <c r="AU132" s="1450"/>
      <c r="AZ132" s="841" t="s">
        <v>92</v>
      </c>
      <c r="BA132" s="841"/>
      <c r="BB132" s="841"/>
      <c r="BC132" s="841"/>
      <c r="BD132" s="841"/>
      <c r="BE132" s="841"/>
      <c r="BF132" s="1613"/>
      <c r="BG132" s="1613"/>
    </row>
    <row r="133" spans="43:59" x14ac:dyDescent="0.2">
      <c r="BB133" t="s">
        <v>70</v>
      </c>
      <c r="BC133" s="576" t="s">
        <v>935</v>
      </c>
      <c r="BD133" s="576" t="s">
        <v>936</v>
      </c>
      <c r="BE133" s="576" t="s">
        <v>937</v>
      </c>
      <c r="BF133" s="1612" t="s">
        <v>1311</v>
      </c>
      <c r="BG133" s="1518" t="s">
        <v>1312</v>
      </c>
    </row>
    <row r="134" spans="43:59" x14ac:dyDescent="0.2">
      <c r="AQ134" s="1469" t="str">
        <f ca="1">CELL("adresse",Ferti_Cultures!AA71)</f>
        <v>'[Bilagreau7 exemple.xlsm]Ferti_Cultures'!$AA$71</v>
      </c>
      <c r="AT134" s="630" t="s">
        <v>671</v>
      </c>
      <c r="AU134" s="630" t="s">
        <v>671</v>
      </c>
      <c r="AV134" s="909"/>
      <c r="AW134" s="909"/>
      <c r="AX134" s="1124" t="str">
        <f ca="1">CELL("adresse",Ferti_Cultures!AI71)</f>
        <v>'[Bilagreau7 exemple.xlsm]Ferti_Cultures'!$AI$71</v>
      </c>
      <c r="BB134" t="s">
        <v>538</v>
      </c>
      <c r="BC134" s="1106">
        <v>1300</v>
      </c>
      <c r="BD134" s="1106">
        <v>1400</v>
      </c>
      <c r="BE134" s="1106">
        <v>1500</v>
      </c>
      <c r="BF134" s="1614">
        <v>600</v>
      </c>
      <c r="BG134" s="1614">
        <v>-600</v>
      </c>
    </row>
    <row r="135" spans="43:59" x14ac:dyDescent="0.2">
      <c r="AR135" s="3476" t="s">
        <v>36</v>
      </c>
      <c r="AS135" s="3476"/>
      <c r="AT135" s="3476"/>
      <c r="AV135" s="3476" t="s">
        <v>1904</v>
      </c>
      <c r="AW135" s="3476"/>
      <c r="AX135" s="3476"/>
      <c r="BB135" t="s">
        <v>219</v>
      </c>
      <c r="BC135" s="1106">
        <v>1100</v>
      </c>
      <c r="BD135" s="1106">
        <v>1250</v>
      </c>
      <c r="BE135" s="1106">
        <v>1350</v>
      </c>
      <c r="BF135" s="1614">
        <v>530</v>
      </c>
      <c r="BG135" s="1614">
        <v>-530</v>
      </c>
    </row>
    <row r="136" spans="43:59" x14ac:dyDescent="0.2">
      <c r="AR136" s="1459" t="s">
        <v>625</v>
      </c>
      <c r="AS136" s="1459" t="s">
        <v>187</v>
      </c>
      <c r="AT136" s="1459" t="s">
        <v>665</v>
      </c>
      <c r="AV136" s="1459" t="s">
        <v>625</v>
      </c>
      <c r="AW136" s="1459" t="s">
        <v>187</v>
      </c>
      <c r="AX136" s="1459" t="s">
        <v>665</v>
      </c>
      <c r="BB136" t="s">
        <v>625</v>
      </c>
      <c r="BC136" s="1106">
        <v>34</v>
      </c>
      <c r="BD136" s="1106">
        <v>36</v>
      </c>
      <c r="BE136" s="1106">
        <v>39</v>
      </c>
      <c r="BF136" s="1614">
        <v>17</v>
      </c>
      <c r="BG136" s="1614">
        <v>-17</v>
      </c>
    </row>
    <row r="137" spans="43:59" x14ac:dyDescent="0.2">
      <c r="AQ137" t="s">
        <v>809</v>
      </c>
      <c r="BB137" t="s">
        <v>187</v>
      </c>
      <c r="BC137" s="1106">
        <v>11</v>
      </c>
      <c r="BD137" s="1106">
        <v>12</v>
      </c>
      <c r="BE137" s="1106">
        <v>13</v>
      </c>
      <c r="BF137" s="1614">
        <v>3</v>
      </c>
      <c r="BG137" s="1614">
        <v>-3</v>
      </c>
    </row>
    <row r="138" spans="43:59" x14ac:dyDescent="0.2">
      <c r="AQ138" s="1120" t="s">
        <v>802</v>
      </c>
      <c r="AR138" s="1108">
        <v>5.5</v>
      </c>
      <c r="AS138" s="1108">
        <v>2.5</v>
      </c>
      <c r="AT138" s="1108">
        <v>8</v>
      </c>
      <c r="AU138" s="1948">
        <f>AT138/AR138</f>
        <v>1.4545454545454546</v>
      </c>
      <c r="AV138" s="1122">
        <v>0.2</v>
      </c>
      <c r="AW138" s="1122">
        <v>0.85</v>
      </c>
      <c r="AX138" s="1122">
        <v>1</v>
      </c>
    </row>
    <row r="139" spans="43:59" x14ac:dyDescent="0.2">
      <c r="AQ139" s="1120" t="s">
        <v>820</v>
      </c>
      <c r="AR139" s="1108">
        <v>5.8</v>
      </c>
      <c r="AS139" s="1108">
        <v>2.2999999999999998</v>
      </c>
      <c r="AT139" s="1108">
        <v>9.5</v>
      </c>
      <c r="AU139" s="1948">
        <f t="shared" ref="AU139:AU164" si="21">AT139/AR139</f>
        <v>1.6379310344827587</v>
      </c>
      <c r="AV139" s="1122">
        <v>0.2</v>
      </c>
      <c r="AW139" s="1122">
        <v>0.85</v>
      </c>
      <c r="AX139" s="1122">
        <v>1</v>
      </c>
      <c r="AZ139" s="1317" t="str">
        <f ca="1">CELL("adresse",Autonomie!$AQ$82)</f>
        <v>'[Bilagreau7 exemple.xlsm]Autonomie'!$AQ$82</v>
      </c>
      <c r="BA139" s="1317"/>
      <c r="BB139" s="1317"/>
      <c r="BC139" s="1317"/>
      <c r="BD139" s="1317"/>
      <c r="BE139" s="1317"/>
      <c r="BF139" s="1317"/>
      <c r="BG139" s="1594"/>
    </row>
    <row r="140" spans="43:59" x14ac:dyDescent="0.2">
      <c r="AQ140" s="1120" t="s">
        <v>803</v>
      </c>
      <c r="AR140" s="1108">
        <v>7</v>
      </c>
      <c r="AS140" s="1108">
        <v>4</v>
      </c>
      <c r="AT140" s="1108">
        <v>12</v>
      </c>
      <c r="AU140" s="1948">
        <f t="shared" si="21"/>
        <v>1.7142857142857142</v>
      </c>
      <c r="AV140" s="1122">
        <v>0.2</v>
      </c>
      <c r="AW140" s="1122">
        <v>0.85</v>
      </c>
      <c r="AX140" s="1122">
        <v>1</v>
      </c>
      <c r="AZ140" s="841" t="s">
        <v>93</v>
      </c>
      <c r="BA140" s="841"/>
      <c r="BB140" s="841"/>
      <c r="BC140" s="841"/>
      <c r="BD140" s="841"/>
      <c r="BE140" s="841"/>
    </row>
    <row r="141" spans="43:59" x14ac:dyDescent="0.2">
      <c r="AQ141" s="1120" t="s">
        <v>804</v>
      </c>
      <c r="AR141" s="630"/>
      <c r="AS141" s="630"/>
      <c r="AT141" s="630"/>
      <c r="AU141" s="709"/>
      <c r="AV141" s="1123"/>
      <c r="AW141" s="1123"/>
      <c r="AX141" s="1123"/>
      <c r="BB141" t="s">
        <v>71</v>
      </c>
      <c r="BC141" s="576" t="s">
        <v>935</v>
      </c>
      <c r="BD141" s="576" t="s">
        <v>936</v>
      </c>
      <c r="BE141" s="576" t="s">
        <v>937</v>
      </c>
    </row>
    <row r="142" spans="43:59" x14ac:dyDescent="0.2">
      <c r="AQ142" s="1121" t="s">
        <v>807</v>
      </c>
      <c r="AR142" s="1108">
        <v>9</v>
      </c>
      <c r="AS142" s="1108">
        <v>8</v>
      </c>
      <c r="AT142" s="1108">
        <v>14</v>
      </c>
      <c r="AU142" s="1948">
        <f t="shared" si="21"/>
        <v>1.5555555555555556</v>
      </c>
      <c r="AV142" s="1122">
        <v>0.4</v>
      </c>
      <c r="AW142" s="1122">
        <v>0.85</v>
      </c>
      <c r="AX142" s="1122">
        <v>1</v>
      </c>
      <c r="BB142" t="s">
        <v>538</v>
      </c>
      <c r="BC142" s="1106">
        <v>2700</v>
      </c>
      <c r="BD142" s="1106">
        <v>2850</v>
      </c>
      <c r="BE142" s="1106">
        <v>3000</v>
      </c>
    </row>
    <row r="143" spans="43:59" x14ac:dyDescent="0.2">
      <c r="AQ143" s="1121" t="s">
        <v>808</v>
      </c>
      <c r="AR143" s="1108">
        <v>7.5</v>
      </c>
      <c r="AS143" s="1108">
        <v>9</v>
      </c>
      <c r="AT143" s="1108">
        <v>12.5</v>
      </c>
      <c r="AU143" s="1948">
        <f t="shared" si="21"/>
        <v>1.6666666666666667</v>
      </c>
      <c r="AV143" s="1122">
        <v>0.4</v>
      </c>
      <c r="AW143" s="1122">
        <v>0.85</v>
      </c>
      <c r="AX143" s="1122">
        <v>1</v>
      </c>
      <c r="BB143" t="s">
        <v>219</v>
      </c>
      <c r="BC143" s="1106">
        <v>2200</v>
      </c>
      <c r="BD143" s="1106">
        <v>2250</v>
      </c>
      <c r="BE143" s="1106">
        <v>2450</v>
      </c>
    </row>
    <row r="144" spans="43:59" x14ac:dyDescent="0.2">
      <c r="AQ144" s="1120" t="s">
        <v>810</v>
      </c>
      <c r="AR144" s="630"/>
      <c r="AS144" s="630"/>
      <c r="AT144" s="630"/>
      <c r="AU144" s="709"/>
      <c r="AV144" s="1123"/>
      <c r="AW144" s="1123"/>
      <c r="AX144" s="1123"/>
      <c r="BB144" t="s">
        <v>625</v>
      </c>
      <c r="BC144" s="1106">
        <v>65</v>
      </c>
      <c r="BD144" s="1106">
        <v>68</v>
      </c>
      <c r="BE144" s="1106">
        <v>72</v>
      </c>
    </row>
    <row r="145" spans="43:59" x14ac:dyDescent="0.2">
      <c r="AQ145" s="1121" t="s">
        <v>975</v>
      </c>
      <c r="AR145" s="1108">
        <v>18</v>
      </c>
      <c r="AS145" s="1108">
        <v>14</v>
      </c>
      <c r="AT145" s="1108">
        <v>12</v>
      </c>
      <c r="AU145" s="1948">
        <f t="shared" si="21"/>
        <v>0.66666666666666663</v>
      </c>
      <c r="AV145" s="1122">
        <v>0.5</v>
      </c>
      <c r="AW145" s="1122">
        <v>0.65</v>
      </c>
      <c r="AX145" s="1122">
        <v>1</v>
      </c>
      <c r="BB145" t="s">
        <v>187</v>
      </c>
      <c r="BC145" s="1106">
        <v>19</v>
      </c>
      <c r="BD145" s="1106">
        <v>21</v>
      </c>
      <c r="BE145" s="1106">
        <v>24</v>
      </c>
    </row>
    <row r="146" spans="43:59" x14ac:dyDescent="0.2">
      <c r="AQ146" s="1121" t="s">
        <v>811</v>
      </c>
      <c r="AR146" s="1108">
        <v>37</v>
      </c>
      <c r="AS146" s="1108">
        <v>38</v>
      </c>
      <c r="AT146" s="1108">
        <v>25</v>
      </c>
      <c r="AU146" s="1948">
        <f t="shared" si="21"/>
        <v>0.67567567567567566</v>
      </c>
      <c r="AV146" s="1122">
        <v>0.5</v>
      </c>
      <c r="AW146" s="1122">
        <v>0.65</v>
      </c>
      <c r="AX146" s="1122">
        <v>1</v>
      </c>
    </row>
    <row r="147" spans="43:59" x14ac:dyDescent="0.2">
      <c r="AQ147" s="1329" t="s">
        <v>976</v>
      </c>
      <c r="AR147" s="1108">
        <v>37</v>
      </c>
      <c r="AS147" s="1108">
        <v>41</v>
      </c>
      <c r="AT147" s="1108">
        <v>24</v>
      </c>
      <c r="AU147" s="1948">
        <f t="shared" si="21"/>
        <v>0.64864864864864868</v>
      </c>
      <c r="AV147" s="1122">
        <v>0.5</v>
      </c>
      <c r="AW147" s="1122">
        <v>0.65</v>
      </c>
      <c r="AX147" s="1122">
        <v>1</v>
      </c>
      <c r="AZ147" s="1317" t="str">
        <f ca="1">CELL("adresse",Autonomie!$AV$81)</f>
        <v>'[Bilagreau7 exemple.xlsm]Autonomie'!$AV$81</v>
      </c>
      <c r="BA147" s="1317"/>
      <c r="BB147" s="1317"/>
      <c r="BC147" s="1317"/>
      <c r="BD147" s="1317"/>
      <c r="BE147" s="1317"/>
      <c r="BF147" s="1317"/>
      <c r="BG147" s="1594"/>
    </row>
    <row r="148" spans="43:59" x14ac:dyDescent="0.2">
      <c r="AQ148" s="1121" t="s">
        <v>812</v>
      </c>
      <c r="AR148" s="1108">
        <v>45</v>
      </c>
      <c r="AS148" s="1108">
        <v>40</v>
      </c>
      <c r="AT148" s="1108">
        <v>30</v>
      </c>
      <c r="AU148" s="1948">
        <f t="shared" si="21"/>
        <v>0.66666666666666663</v>
      </c>
      <c r="AV148" s="1122">
        <v>0.5</v>
      </c>
      <c r="AW148" s="1122">
        <v>0.65</v>
      </c>
      <c r="AX148" s="1122">
        <v>1</v>
      </c>
      <c r="AZ148" s="841" t="s">
        <v>94</v>
      </c>
      <c r="BA148" s="841"/>
      <c r="BB148" s="841"/>
      <c r="BC148" s="841"/>
      <c r="BD148" s="841"/>
      <c r="BE148" s="841"/>
    </row>
    <row r="149" spans="43:59" x14ac:dyDescent="0.2">
      <c r="AQ149" s="1120" t="s">
        <v>110</v>
      </c>
      <c r="AR149" s="630"/>
      <c r="AS149" s="630"/>
      <c r="AT149" s="630"/>
      <c r="AU149" s="709"/>
      <c r="AV149" s="1123"/>
      <c r="AW149" s="1123"/>
      <c r="AX149" s="1123"/>
      <c r="BB149" s="797"/>
      <c r="BC149" s="701" t="s">
        <v>183</v>
      </c>
      <c r="BD149" s="701"/>
      <c r="BE149" s="1565"/>
    </row>
    <row r="150" spans="43:59" x14ac:dyDescent="0.2">
      <c r="AQ150" s="1121" t="s">
        <v>975</v>
      </c>
      <c r="AR150" s="1108">
        <v>29</v>
      </c>
      <c r="AS150" s="1108">
        <v>25</v>
      </c>
      <c r="AT150" s="1108">
        <v>20</v>
      </c>
      <c r="AU150" s="1948">
        <f t="shared" si="21"/>
        <v>0.68965517241379315</v>
      </c>
      <c r="AV150" s="1122">
        <v>0.55000000000000004</v>
      </c>
      <c r="AW150" s="1122">
        <v>0.65</v>
      </c>
      <c r="AX150" s="1122">
        <v>1</v>
      </c>
      <c r="BB150" s="604" t="s">
        <v>95</v>
      </c>
      <c r="BC150" s="576" t="s">
        <v>935</v>
      </c>
      <c r="BD150" s="576" t="s">
        <v>936</v>
      </c>
      <c r="BE150" s="1569" t="s">
        <v>937</v>
      </c>
    </row>
    <row r="151" spans="43:59" x14ac:dyDescent="0.2">
      <c r="AQ151" s="1121" t="s">
        <v>811</v>
      </c>
      <c r="AR151" s="1108">
        <v>26</v>
      </c>
      <c r="AS151" s="1108">
        <v>24</v>
      </c>
      <c r="AT151" s="1108">
        <v>19</v>
      </c>
      <c r="AU151" s="1948">
        <f t="shared" si="21"/>
        <v>0.73076923076923073</v>
      </c>
      <c r="AV151" s="1122">
        <v>0.55000000000000004</v>
      </c>
      <c r="AW151" s="1122">
        <v>0.65</v>
      </c>
      <c r="AX151" s="1122">
        <v>1</v>
      </c>
      <c r="BB151" s="604" t="s">
        <v>538</v>
      </c>
      <c r="BC151" s="1210">
        <v>1300</v>
      </c>
      <c r="BD151" s="1210">
        <v>1450</v>
      </c>
      <c r="BE151" s="1315">
        <v>1600</v>
      </c>
    </row>
    <row r="152" spans="43:59" x14ac:dyDescent="0.2">
      <c r="AQ152" s="1121" t="s">
        <v>825</v>
      </c>
      <c r="AR152" s="1108">
        <v>22</v>
      </c>
      <c r="AS152" s="1108">
        <v>22</v>
      </c>
      <c r="AT152" s="1108">
        <v>15</v>
      </c>
      <c r="AU152" s="1948">
        <f t="shared" si="21"/>
        <v>0.68181818181818177</v>
      </c>
      <c r="AV152" s="1122">
        <v>0.55000000000000004</v>
      </c>
      <c r="AW152" s="1122">
        <v>0.65</v>
      </c>
      <c r="AX152" s="1122">
        <v>1</v>
      </c>
      <c r="BB152" s="604" t="s">
        <v>219</v>
      </c>
      <c r="BC152" s="1210">
        <v>1150</v>
      </c>
      <c r="BD152" s="1210">
        <v>1300</v>
      </c>
      <c r="BE152" s="1315">
        <v>1450</v>
      </c>
    </row>
    <row r="153" spans="43:59" x14ac:dyDescent="0.2">
      <c r="AQ153" s="1120" t="s">
        <v>111</v>
      </c>
      <c r="AR153" s="630"/>
      <c r="AS153" s="630"/>
      <c r="AT153" s="630"/>
      <c r="AU153" s="709"/>
      <c r="AV153" s="1123"/>
      <c r="AW153" s="1123"/>
      <c r="AX153" s="1123"/>
      <c r="BB153" s="604" t="s">
        <v>625</v>
      </c>
      <c r="BC153" s="1210">
        <v>31</v>
      </c>
      <c r="BD153" s="1210">
        <v>35</v>
      </c>
      <c r="BE153" s="1315">
        <v>38</v>
      </c>
    </row>
    <row r="154" spans="43:59" x14ac:dyDescent="0.2">
      <c r="AQ154" s="1121" t="s">
        <v>975</v>
      </c>
      <c r="AR154" s="1108">
        <v>22</v>
      </c>
      <c r="AS154" s="1108">
        <v>14</v>
      </c>
      <c r="AT154" s="1108">
        <v>18</v>
      </c>
      <c r="AU154" s="1948">
        <f t="shared" si="21"/>
        <v>0.81818181818181823</v>
      </c>
      <c r="AV154" s="1122">
        <v>0.6</v>
      </c>
      <c r="AW154" s="1122">
        <v>0.65</v>
      </c>
      <c r="AX154" s="1122">
        <v>1</v>
      </c>
      <c r="BB154" s="604" t="s">
        <v>187</v>
      </c>
      <c r="BC154" s="1210">
        <v>13</v>
      </c>
      <c r="BD154" s="1210">
        <v>14</v>
      </c>
      <c r="BE154" s="1315">
        <v>16</v>
      </c>
    </row>
    <row r="155" spans="43:59" x14ac:dyDescent="0.2">
      <c r="AQ155" s="1121" t="s">
        <v>811</v>
      </c>
      <c r="AR155" s="1108">
        <v>18</v>
      </c>
      <c r="AS155" s="1108">
        <v>17</v>
      </c>
      <c r="AT155" s="1108">
        <v>15</v>
      </c>
      <c r="AU155" s="1948">
        <f t="shared" si="21"/>
        <v>0.83333333333333337</v>
      </c>
      <c r="AV155" s="1122">
        <v>0.6</v>
      </c>
      <c r="AW155" s="1122">
        <v>0.65</v>
      </c>
      <c r="AX155" s="1122">
        <v>1</v>
      </c>
      <c r="BB155" s="604"/>
      <c r="BC155" s="621" t="s">
        <v>163</v>
      </c>
      <c r="BD155" s="621"/>
      <c r="BE155" s="1566"/>
    </row>
    <row r="156" spans="43:59" x14ac:dyDescent="0.2">
      <c r="AQ156" s="1121" t="s">
        <v>825</v>
      </c>
      <c r="AR156" s="1108">
        <v>15</v>
      </c>
      <c r="AS156" s="1108">
        <v>17</v>
      </c>
      <c r="AT156" s="1108">
        <v>14</v>
      </c>
      <c r="AU156" s="1948">
        <f t="shared" si="21"/>
        <v>0.93333333333333335</v>
      </c>
      <c r="AV156" s="1122">
        <v>0.6</v>
      </c>
      <c r="AW156" s="1122">
        <v>0.65</v>
      </c>
      <c r="AX156" s="1122">
        <v>1</v>
      </c>
      <c r="BB156" s="604" t="s">
        <v>95</v>
      </c>
      <c r="BC156" s="576" t="s">
        <v>935</v>
      </c>
      <c r="BD156" s="576" t="s">
        <v>936</v>
      </c>
      <c r="BE156" s="1569" t="s">
        <v>937</v>
      </c>
    </row>
    <row r="157" spans="43:59" x14ac:dyDescent="0.2">
      <c r="AQ157" s="1120" t="s">
        <v>813</v>
      </c>
      <c r="AR157" s="630"/>
      <c r="AS157" s="630"/>
      <c r="AT157" s="630"/>
      <c r="AU157" s="709"/>
      <c r="AV157" s="1123"/>
      <c r="AW157" s="1123"/>
      <c r="AX157" s="1123"/>
      <c r="BB157" s="604" t="s">
        <v>538</v>
      </c>
      <c r="BC157" s="1210">
        <v>1350</v>
      </c>
      <c r="BD157" s="1210">
        <v>1500</v>
      </c>
      <c r="BE157" s="1315">
        <v>1750</v>
      </c>
    </row>
    <row r="158" spans="43:59" x14ac:dyDescent="0.2">
      <c r="AQ158" s="1121" t="s">
        <v>975</v>
      </c>
      <c r="AR158" s="1108">
        <v>26</v>
      </c>
      <c r="AS158" s="1108">
        <v>20</v>
      </c>
      <c r="AT158" s="1108">
        <v>18</v>
      </c>
      <c r="AU158" s="1948">
        <f t="shared" si="21"/>
        <v>0.69230769230769229</v>
      </c>
      <c r="AV158" s="1122">
        <v>0.6</v>
      </c>
      <c r="AW158" s="1122">
        <v>0.65</v>
      </c>
      <c r="AX158" s="1122">
        <v>1</v>
      </c>
      <c r="BB158" s="604" t="s">
        <v>219</v>
      </c>
      <c r="BC158" s="1210">
        <v>1150</v>
      </c>
      <c r="BD158" s="1210">
        <v>1300</v>
      </c>
      <c r="BE158" s="1315">
        <v>1500</v>
      </c>
    </row>
    <row r="159" spans="43:59" x14ac:dyDescent="0.2">
      <c r="AQ159" s="1121" t="s">
        <v>811</v>
      </c>
      <c r="AR159" s="1108">
        <v>46</v>
      </c>
      <c r="AS159" s="1108">
        <v>41</v>
      </c>
      <c r="AT159" s="1108">
        <v>45</v>
      </c>
      <c r="AU159" s="1948">
        <f t="shared" si="21"/>
        <v>0.97826086956521741</v>
      </c>
      <c r="AV159" s="1122">
        <v>0.6</v>
      </c>
      <c r="AW159" s="1122">
        <v>0.65</v>
      </c>
      <c r="AX159" s="1122">
        <v>1</v>
      </c>
      <c r="BB159" s="604" t="s">
        <v>625</v>
      </c>
      <c r="BC159" s="1210">
        <v>33</v>
      </c>
      <c r="BD159" s="1210">
        <v>36</v>
      </c>
      <c r="BE159" s="1315">
        <v>43</v>
      </c>
    </row>
    <row r="160" spans="43:59" x14ac:dyDescent="0.2">
      <c r="AQ160" s="1121" t="s">
        <v>825</v>
      </c>
      <c r="AR160" s="1108">
        <v>21</v>
      </c>
      <c r="AS160" s="1108">
        <v>23</v>
      </c>
      <c r="AT160" s="1108">
        <v>15</v>
      </c>
      <c r="AU160" s="1948">
        <f t="shared" si="21"/>
        <v>0.7142857142857143</v>
      </c>
      <c r="AV160" s="1122">
        <v>0.6</v>
      </c>
      <c r="AW160" s="1122">
        <v>0.65</v>
      </c>
      <c r="AX160" s="1122">
        <v>1</v>
      </c>
      <c r="BB160" s="758" t="s">
        <v>187</v>
      </c>
      <c r="BC160" s="1212">
        <v>13</v>
      </c>
      <c r="BD160" s="1212">
        <v>14</v>
      </c>
      <c r="BE160" s="1316">
        <v>16</v>
      </c>
    </row>
    <row r="161" spans="43:57" x14ac:dyDescent="0.2">
      <c r="AQ161" s="1120" t="s">
        <v>814</v>
      </c>
      <c r="AR161" s="630"/>
      <c r="AS161" s="630"/>
      <c r="AT161" s="630"/>
      <c r="AU161" s="709"/>
      <c r="AV161" s="1123"/>
      <c r="AW161" s="1123"/>
      <c r="AX161" s="1123"/>
      <c r="BB161" s="797"/>
      <c r="BC161" s="701" t="s">
        <v>183</v>
      </c>
      <c r="BD161" s="701"/>
      <c r="BE161" s="1565"/>
    </row>
    <row r="162" spans="43:57" x14ac:dyDescent="0.2">
      <c r="AQ162" s="1121" t="s">
        <v>975</v>
      </c>
      <c r="AR162" s="1108">
        <v>32</v>
      </c>
      <c r="AS162" s="1108">
        <v>25</v>
      </c>
      <c r="AT162" s="1108">
        <v>20</v>
      </c>
      <c r="AU162" s="1948">
        <f t="shared" si="21"/>
        <v>0.625</v>
      </c>
      <c r="AV162" s="1122">
        <v>0.7</v>
      </c>
      <c r="AW162" s="1122">
        <v>0.65</v>
      </c>
      <c r="AX162" s="1122">
        <v>1</v>
      </c>
      <c r="BB162" s="604" t="s">
        <v>96</v>
      </c>
      <c r="BC162" s="576" t="s">
        <v>935</v>
      </c>
      <c r="BD162" s="576" t="s">
        <v>936</v>
      </c>
      <c r="BE162" s="1569" t="s">
        <v>937</v>
      </c>
    </row>
    <row r="163" spans="43:57" x14ac:dyDescent="0.2">
      <c r="AQ163" s="1121" t="s">
        <v>811</v>
      </c>
      <c r="AR163" s="1108">
        <v>29</v>
      </c>
      <c r="AS163" s="1108">
        <v>24</v>
      </c>
      <c r="AT163" s="1108">
        <v>19</v>
      </c>
      <c r="AU163" s="1948">
        <f t="shared" si="21"/>
        <v>0.65517241379310343</v>
      </c>
      <c r="AV163" s="1122">
        <v>0.7</v>
      </c>
      <c r="AW163" s="1122">
        <v>0.65</v>
      </c>
      <c r="AX163" s="1122">
        <v>1</v>
      </c>
      <c r="BB163" s="604" t="s">
        <v>538</v>
      </c>
      <c r="BC163" s="1210">
        <v>1800</v>
      </c>
      <c r="BD163" s="1210">
        <v>1900</v>
      </c>
      <c r="BE163" s="1315">
        <v>2050</v>
      </c>
    </row>
    <row r="164" spans="43:57" x14ac:dyDescent="0.2">
      <c r="AQ164" s="1121" t="s">
        <v>825</v>
      </c>
      <c r="AR164" s="1108">
        <v>24</v>
      </c>
      <c r="AS164" s="1108">
        <v>22</v>
      </c>
      <c r="AT164" s="1108">
        <v>15</v>
      </c>
      <c r="AU164" s="1948">
        <f t="shared" si="21"/>
        <v>0.625</v>
      </c>
      <c r="AV164" s="1122">
        <v>0.7</v>
      </c>
      <c r="AW164" s="1122">
        <v>0.65</v>
      </c>
      <c r="AX164" s="1122">
        <v>1</v>
      </c>
      <c r="BB164" s="604" t="s">
        <v>219</v>
      </c>
      <c r="BC164" s="1210">
        <v>1500</v>
      </c>
      <c r="BD164" s="1210">
        <v>1700</v>
      </c>
      <c r="BE164" s="1315">
        <v>1850</v>
      </c>
    </row>
    <row r="165" spans="43:57" x14ac:dyDescent="0.2">
      <c r="AQ165" s="1120" t="s">
        <v>1903</v>
      </c>
      <c r="AR165" s="1108">
        <v>7</v>
      </c>
      <c r="AS165" s="1108">
        <v>7</v>
      </c>
      <c r="AT165" s="1108">
        <v>10</v>
      </c>
      <c r="AU165" s="1948">
        <f>AT165/AR165</f>
        <v>1.4285714285714286</v>
      </c>
      <c r="AV165" s="1122">
        <v>0.15</v>
      </c>
      <c r="AW165" s="1122">
        <v>0.65</v>
      </c>
      <c r="AX165" s="1122">
        <v>1</v>
      </c>
      <c r="BB165" s="604" t="s">
        <v>625</v>
      </c>
      <c r="BC165" s="1210">
        <v>43</v>
      </c>
      <c r="BD165" s="1210">
        <v>46</v>
      </c>
      <c r="BE165" s="1315">
        <v>49</v>
      </c>
    </row>
    <row r="166" spans="43:57" x14ac:dyDescent="0.2">
      <c r="AQ166" t="s">
        <v>815</v>
      </c>
      <c r="AR166" s="630"/>
      <c r="AS166" s="630"/>
      <c r="AT166" s="630"/>
      <c r="AU166" s="709"/>
      <c r="AV166" s="1123"/>
      <c r="AW166" s="1123"/>
      <c r="AX166" s="1123"/>
      <c r="BB166" s="604" t="s">
        <v>187</v>
      </c>
      <c r="BC166" s="1210">
        <v>16</v>
      </c>
      <c r="BD166" s="1210">
        <v>18</v>
      </c>
      <c r="BE166" s="1315">
        <v>21</v>
      </c>
    </row>
    <row r="167" spans="43:57" x14ac:dyDescent="0.2">
      <c r="AQ167" s="1120" t="s">
        <v>886</v>
      </c>
      <c r="AR167" s="1108">
        <v>8</v>
      </c>
      <c r="AS167" s="1108">
        <v>5</v>
      </c>
      <c r="AT167" s="1108">
        <v>14</v>
      </c>
      <c r="AU167" s="1948">
        <f>AT167/AR167</f>
        <v>1.75</v>
      </c>
      <c r="AV167" s="1122">
        <v>0.15</v>
      </c>
      <c r="AW167" s="1122">
        <v>0.85</v>
      </c>
      <c r="AX167" s="1122">
        <v>1</v>
      </c>
      <c r="BB167" s="604"/>
      <c r="BC167" s="621" t="s">
        <v>163</v>
      </c>
      <c r="BD167" s="621"/>
      <c r="BE167" s="1566"/>
    </row>
    <row r="168" spans="43:57" x14ac:dyDescent="0.2">
      <c r="AQ168" s="1120" t="s">
        <v>887</v>
      </c>
      <c r="AR168" s="1108">
        <v>11.5</v>
      </c>
      <c r="AS168" s="1108">
        <v>7</v>
      </c>
      <c r="AT168" s="1108">
        <v>23</v>
      </c>
      <c r="AU168" s="1948">
        <f>AT168/AR168</f>
        <v>2</v>
      </c>
      <c r="AV168" s="1122">
        <v>0.15</v>
      </c>
      <c r="AW168" s="1122">
        <v>0.85</v>
      </c>
      <c r="AX168" s="1122">
        <v>1</v>
      </c>
      <c r="BB168" s="604" t="s">
        <v>96</v>
      </c>
      <c r="BC168" s="576" t="s">
        <v>935</v>
      </c>
      <c r="BD168" s="576" t="s">
        <v>936</v>
      </c>
      <c r="BE168" s="1569" t="s">
        <v>937</v>
      </c>
    </row>
    <row r="169" spans="43:57" x14ac:dyDescent="0.2">
      <c r="AQ169" s="1120" t="s">
        <v>888</v>
      </c>
      <c r="AR169" s="630"/>
      <c r="AS169" s="630"/>
      <c r="AT169" s="630"/>
      <c r="AU169" s="709"/>
      <c r="AV169" s="1123"/>
      <c r="AW169" s="1123"/>
      <c r="AX169" s="1123"/>
      <c r="BB169" s="604" t="s">
        <v>538</v>
      </c>
      <c r="BC169" s="1210">
        <v>1900</v>
      </c>
      <c r="BD169" s="1210">
        <v>2050</v>
      </c>
      <c r="BE169" s="1315">
        <v>2200</v>
      </c>
    </row>
    <row r="170" spans="43:57" x14ac:dyDescent="0.2">
      <c r="AQ170" s="1121" t="s">
        <v>807</v>
      </c>
      <c r="AR170" s="1108">
        <v>13</v>
      </c>
      <c r="AS170" s="1108">
        <v>18</v>
      </c>
      <c r="AT170" s="1108">
        <v>24</v>
      </c>
      <c r="AU170" s="1948">
        <f>AT170/AR170</f>
        <v>1.8461538461538463</v>
      </c>
      <c r="AV170" s="1122">
        <v>0.2</v>
      </c>
      <c r="AW170" s="1122">
        <v>0.85</v>
      </c>
      <c r="AX170" s="1122">
        <v>1</v>
      </c>
      <c r="BB170" s="604" t="s">
        <v>219</v>
      </c>
      <c r="BC170" s="1210">
        <v>1600</v>
      </c>
      <c r="BD170" s="1210">
        <v>1700</v>
      </c>
      <c r="BE170" s="1315">
        <v>1850</v>
      </c>
    </row>
    <row r="171" spans="43:57" x14ac:dyDescent="0.2">
      <c r="AQ171" s="1121" t="s">
        <v>808</v>
      </c>
      <c r="AR171" s="1108">
        <v>8.5</v>
      </c>
      <c r="AS171" s="1108">
        <v>12.5</v>
      </c>
      <c r="AT171" s="1108">
        <v>19</v>
      </c>
      <c r="AU171" s="1948">
        <f>AT171/AR171</f>
        <v>2.2352941176470589</v>
      </c>
      <c r="AV171" s="1122">
        <v>0.2</v>
      </c>
      <c r="AW171" s="1122">
        <v>0.85</v>
      </c>
      <c r="AX171" s="1122">
        <v>1</v>
      </c>
      <c r="BB171" s="604" t="s">
        <v>625</v>
      </c>
      <c r="BC171" s="1210">
        <v>46</v>
      </c>
      <c r="BD171" s="1210">
        <v>49</v>
      </c>
      <c r="BE171" s="1315">
        <v>53</v>
      </c>
    </row>
    <row r="172" spans="43:57" x14ac:dyDescent="0.2">
      <c r="AQ172" s="1120" t="s">
        <v>889</v>
      </c>
      <c r="AR172" s="1108">
        <v>7.5</v>
      </c>
      <c r="AS172" s="1108">
        <v>15</v>
      </c>
      <c r="AT172" s="1108">
        <v>10.5</v>
      </c>
      <c r="AU172" s="1948">
        <f>AT172/AR172</f>
        <v>1.4</v>
      </c>
      <c r="AV172" s="1122">
        <v>0.2</v>
      </c>
      <c r="AW172" s="1122">
        <v>0.85</v>
      </c>
      <c r="AX172" s="1122">
        <v>1</v>
      </c>
      <c r="BB172" s="758" t="s">
        <v>187</v>
      </c>
      <c r="BC172" s="1210">
        <v>16</v>
      </c>
      <c r="BD172" s="1210">
        <v>18</v>
      </c>
      <c r="BE172" s="1315">
        <v>21</v>
      </c>
    </row>
    <row r="173" spans="43:57" x14ac:dyDescent="0.2">
      <c r="AQ173" s="1120" t="s">
        <v>890</v>
      </c>
      <c r="AR173" s="1108">
        <v>23</v>
      </c>
      <c r="AS173" s="1108">
        <v>22</v>
      </c>
      <c r="AT173" s="1108">
        <v>28</v>
      </c>
      <c r="AU173" s="1948">
        <f>AT173/AR173</f>
        <v>1.2173913043478262</v>
      </c>
      <c r="AV173" s="1122">
        <v>0.4</v>
      </c>
      <c r="AW173" s="1122">
        <v>0.7</v>
      </c>
      <c r="AX173" s="1122">
        <v>1</v>
      </c>
      <c r="BB173" s="797"/>
      <c r="BC173" s="701" t="s">
        <v>183</v>
      </c>
      <c r="BD173" s="701"/>
      <c r="BE173" s="1565"/>
    </row>
    <row r="174" spans="43:57" x14ac:dyDescent="0.2">
      <c r="AQ174" s="1120" t="s">
        <v>891</v>
      </c>
      <c r="AR174" s="1108">
        <v>30</v>
      </c>
      <c r="AS174" s="1108">
        <v>28</v>
      </c>
      <c r="AT174" s="1108">
        <v>33</v>
      </c>
      <c r="AU174" s="1948">
        <f>AT174/AR174</f>
        <v>1.1000000000000001</v>
      </c>
      <c r="AV174" s="1122">
        <v>0.4</v>
      </c>
      <c r="AW174" s="1122">
        <v>0.7</v>
      </c>
      <c r="AX174" s="1122">
        <v>1</v>
      </c>
      <c r="BB174" s="604" t="s">
        <v>97</v>
      </c>
      <c r="BC174" s="576" t="s">
        <v>935</v>
      </c>
      <c r="BD174" s="576" t="s">
        <v>936</v>
      </c>
      <c r="BE174" s="1569" t="s">
        <v>937</v>
      </c>
    </row>
    <row r="175" spans="43:57" x14ac:dyDescent="0.2">
      <c r="AU175" s="709"/>
      <c r="BB175" s="604" t="s">
        <v>538</v>
      </c>
      <c r="BC175" s="1210">
        <v>2400</v>
      </c>
      <c r="BD175" s="1210">
        <v>2600</v>
      </c>
      <c r="BE175" s="1315">
        <v>2800</v>
      </c>
    </row>
    <row r="176" spans="43:57" x14ac:dyDescent="0.2">
      <c r="AQ176" s="1120"/>
      <c r="AR176" s="3476" t="s">
        <v>37</v>
      </c>
      <c r="AS176" s="3476"/>
      <c r="AT176" s="3476"/>
      <c r="AU176" s="709"/>
      <c r="AV176" s="3476" t="s">
        <v>1904</v>
      </c>
      <c r="AW176" s="3476"/>
      <c r="AX176" s="3476"/>
      <c r="BB176" s="604" t="s">
        <v>219</v>
      </c>
      <c r="BC176" s="1210">
        <v>2050</v>
      </c>
      <c r="BD176" s="1210">
        <v>2200</v>
      </c>
      <c r="BE176" s="1315">
        <v>2400</v>
      </c>
    </row>
    <row r="177" spans="43:57" x14ac:dyDescent="0.2">
      <c r="AQ177" s="1120"/>
      <c r="AR177" s="1459" t="s">
        <v>625</v>
      </c>
      <c r="AS177" s="1459" t="s">
        <v>187</v>
      </c>
      <c r="AT177" s="1459" t="s">
        <v>665</v>
      </c>
      <c r="AU177" s="709"/>
      <c r="AV177" s="1459" t="s">
        <v>625</v>
      </c>
      <c r="AW177" s="1459" t="s">
        <v>187</v>
      </c>
      <c r="AX177" s="1459" t="s">
        <v>665</v>
      </c>
      <c r="BB177" s="604" t="s">
        <v>625</v>
      </c>
      <c r="BC177" s="1210">
        <v>58</v>
      </c>
      <c r="BD177" s="1210">
        <v>62</v>
      </c>
      <c r="BE177" s="1315">
        <v>67</v>
      </c>
    </row>
    <row r="178" spans="43:57" x14ac:dyDescent="0.2">
      <c r="AQ178" t="s">
        <v>816</v>
      </c>
      <c r="AR178" s="630"/>
      <c r="AS178" s="630"/>
      <c r="AT178" s="630"/>
      <c r="AU178" s="709"/>
      <c r="AV178" s="1123"/>
      <c r="AW178" s="1123"/>
      <c r="AX178" s="1123"/>
      <c r="BB178" s="604" t="s">
        <v>187</v>
      </c>
      <c r="BC178" s="1210">
        <v>20</v>
      </c>
      <c r="BD178" s="1210">
        <v>22</v>
      </c>
      <c r="BE178" s="1315">
        <v>24</v>
      </c>
    </row>
    <row r="179" spans="43:57" x14ac:dyDescent="0.2">
      <c r="AQ179" s="1120" t="s">
        <v>818</v>
      </c>
      <c r="AR179" s="630"/>
      <c r="AS179" s="630"/>
      <c r="AT179" s="630"/>
      <c r="AU179" s="709"/>
      <c r="AV179" s="1123"/>
      <c r="AW179" s="1123"/>
      <c r="AX179" s="1123"/>
      <c r="BB179" s="604"/>
      <c r="BC179" s="621" t="s">
        <v>163</v>
      </c>
      <c r="BD179" s="621"/>
      <c r="BE179" s="1566"/>
    </row>
    <row r="180" spans="43:57" x14ac:dyDescent="0.2">
      <c r="AQ180" s="1121" t="s">
        <v>819</v>
      </c>
      <c r="AR180" s="1108">
        <v>4</v>
      </c>
      <c r="AS180" s="1108">
        <v>1.5</v>
      </c>
      <c r="AT180" s="1108">
        <v>5</v>
      </c>
      <c r="AU180" s="1948">
        <f>AT180/AR180</f>
        <v>1.25</v>
      </c>
      <c r="AV180" s="1122">
        <v>0.5</v>
      </c>
      <c r="AW180" s="1122">
        <v>0.85</v>
      </c>
      <c r="AX180" s="1122">
        <v>1</v>
      </c>
      <c r="BB180" s="604" t="s">
        <v>97</v>
      </c>
      <c r="BC180" s="576" t="s">
        <v>935</v>
      </c>
      <c r="BD180" s="576" t="s">
        <v>936</v>
      </c>
      <c r="BE180" s="1569" t="s">
        <v>937</v>
      </c>
    </row>
    <row r="181" spans="43:57" x14ac:dyDescent="0.2">
      <c r="AQ181" s="1214" t="s">
        <v>914</v>
      </c>
      <c r="AR181" s="1108">
        <v>5.2</v>
      </c>
      <c r="AS181" s="1108">
        <v>2</v>
      </c>
      <c r="AT181" s="1108">
        <v>4</v>
      </c>
      <c r="AU181" s="1948">
        <f>AT181/AR181</f>
        <v>0.76923076923076916</v>
      </c>
      <c r="AV181" s="1122">
        <v>0.5</v>
      </c>
      <c r="AW181" s="1122">
        <v>0.85</v>
      </c>
      <c r="AX181" s="1122">
        <v>1</v>
      </c>
      <c r="BB181" s="604" t="s">
        <v>538</v>
      </c>
      <c r="BC181" s="1210">
        <v>2700</v>
      </c>
      <c r="BD181" s="1210">
        <v>2850</v>
      </c>
      <c r="BE181" s="1315">
        <v>3000</v>
      </c>
    </row>
    <row r="182" spans="43:57" x14ac:dyDescent="0.2">
      <c r="AQ182" s="1121" t="s">
        <v>821</v>
      </c>
      <c r="AR182" s="1108">
        <v>2.8</v>
      </c>
      <c r="AS182" s="1108">
        <v>1.1000000000000001</v>
      </c>
      <c r="AT182" s="1108">
        <v>3.3</v>
      </c>
      <c r="AU182" s="1948">
        <f>AT182/AR182</f>
        <v>1.1785714285714286</v>
      </c>
      <c r="AV182" s="1122">
        <v>0.5</v>
      </c>
      <c r="AW182" s="1122">
        <v>0.85</v>
      </c>
      <c r="AX182" s="1122">
        <v>1</v>
      </c>
      <c r="BB182" s="604" t="s">
        <v>219</v>
      </c>
      <c r="BC182" s="1210">
        <v>2300</v>
      </c>
      <c r="BD182" s="1210">
        <v>2400</v>
      </c>
      <c r="BE182" s="1315">
        <v>2550</v>
      </c>
    </row>
    <row r="183" spans="43:57" x14ac:dyDescent="0.2">
      <c r="AQ183" s="1121" t="s">
        <v>822</v>
      </c>
      <c r="AR183" s="1108">
        <v>1.6</v>
      </c>
      <c r="AS183" s="1108">
        <v>0.8</v>
      </c>
      <c r="AT183" s="1108">
        <v>2.5</v>
      </c>
      <c r="AU183" s="1948">
        <f>AT183/AR183</f>
        <v>1.5625</v>
      </c>
      <c r="AV183" s="1122">
        <v>0.5</v>
      </c>
      <c r="AW183" s="1122">
        <v>0.85</v>
      </c>
      <c r="AX183" s="1122">
        <v>1</v>
      </c>
      <c r="BB183" s="604" t="s">
        <v>625</v>
      </c>
      <c r="BC183" s="1210">
        <v>65</v>
      </c>
      <c r="BD183" s="1210">
        <v>68</v>
      </c>
      <c r="BE183" s="1315">
        <v>72</v>
      </c>
    </row>
    <row r="184" spans="43:57" x14ac:dyDescent="0.2">
      <c r="AQ184" s="1120" t="s">
        <v>817</v>
      </c>
      <c r="AR184" s="630"/>
      <c r="AS184" s="630"/>
      <c r="AT184" s="630"/>
      <c r="AU184" s="709"/>
      <c r="AV184" s="1123"/>
      <c r="AW184" s="1123"/>
      <c r="AX184" s="1123"/>
      <c r="BB184" s="758" t="s">
        <v>187</v>
      </c>
      <c r="BC184" s="1212">
        <v>20</v>
      </c>
      <c r="BD184" s="1212">
        <v>22</v>
      </c>
      <c r="BE184" s="1316">
        <v>24</v>
      </c>
    </row>
    <row r="185" spans="43:57" x14ac:dyDescent="0.2">
      <c r="AQ185" s="1121" t="s">
        <v>823</v>
      </c>
      <c r="AR185" s="1108">
        <v>3.5</v>
      </c>
      <c r="AS185" s="1108">
        <v>2.1</v>
      </c>
      <c r="AT185" s="1108">
        <v>2.5</v>
      </c>
      <c r="AU185" s="1948">
        <f t="shared" ref="AU185:AU190" si="22">AT185/AR185</f>
        <v>0.7142857142857143</v>
      </c>
      <c r="AV185" s="1122">
        <v>0.5</v>
      </c>
      <c r="AW185" s="1122">
        <v>0.85</v>
      </c>
      <c r="AX185" s="1122">
        <v>1</v>
      </c>
      <c r="BB185" s="797"/>
      <c r="BC185" s="701" t="s">
        <v>183</v>
      </c>
      <c r="BD185" s="701"/>
      <c r="BE185" s="1565"/>
    </row>
    <row r="186" spans="43:57" x14ac:dyDescent="0.2">
      <c r="AQ186" s="1214" t="s">
        <v>855</v>
      </c>
      <c r="AR186" s="1108">
        <v>5.8</v>
      </c>
      <c r="AS186" s="1108">
        <v>3.2</v>
      </c>
      <c r="AT186" s="1108">
        <v>4.8</v>
      </c>
      <c r="AU186" s="1948">
        <f t="shared" si="22"/>
        <v>0.82758620689655171</v>
      </c>
      <c r="AV186" s="1122">
        <v>0.5</v>
      </c>
      <c r="AW186" s="1122">
        <v>0.85</v>
      </c>
      <c r="AX186" s="1122">
        <v>1</v>
      </c>
      <c r="BB186" s="604" t="s">
        <v>98</v>
      </c>
      <c r="BC186" s="576" t="s">
        <v>935</v>
      </c>
      <c r="BD186" s="576" t="s">
        <v>936</v>
      </c>
      <c r="BE186" s="1569" t="s">
        <v>937</v>
      </c>
    </row>
    <row r="187" spans="43:57" x14ac:dyDescent="0.2">
      <c r="AQ187" s="1120" t="s">
        <v>824</v>
      </c>
      <c r="AR187" s="1108">
        <v>17</v>
      </c>
      <c r="AS187" s="1108">
        <v>10</v>
      </c>
      <c r="AT187" s="1108">
        <v>8</v>
      </c>
      <c r="AU187" s="1948">
        <f t="shared" si="22"/>
        <v>0.47058823529411764</v>
      </c>
      <c r="AV187" s="1122">
        <v>0.6</v>
      </c>
      <c r="AW187" s="1122">
        <v>0.65</v>
      </c>
      <c r="AX187" s="1122">
        <v>1</v>
      </c>
      <c r="BB187" s="604" t="s">
        <v>538</v>
      </c>
      <c r="BC187" s="1210">
        <v>3650</v>
      </c>
      <c r="BD187" s="1210">
        <v>3800</v>
      </c>
      <c r="BE187" s="1315">
        <v>4000</v>
      </c>
    </row>
    <row r="188" spans="43:57" x14ac:dyDescent="0.2">
      <c r="AQ188" s="1120" t="s">
        <v>885</v>
      </c>
      <c r="AR188" s="1108">
        <v>30</v>
      </c>
      <c r="AS188" s="1108">
        <v>21</v>
      </c>
      <c r="AT188" s="1108">
        <v>10</v>
      </c>
      <c r="AU188" s="1948">
        <f t="shared" si="22"/>
        <v>0.33333333333333331</v>
      </c>
      <c r="AV188" s="1122">
        <v>0.6</v>
      </c>
      <c r="AW188" s="1122">
        <v>0.65</v>
      </c>
      <c r="AX188" s="1122">
        <v>1</v>
      </c>
      <c r="BB188" s="604" t="s">
        <v>219</v>
      </c>
      <c r="BC188" s="1210">
        <v>3000</v>
      </c>
      <c r="BD188" s="1210">
        <v>3200</v>
      </c>
      <c r="BE188" s="1315">
        <v>3300</v>
      </c>
    </row>
    <row r="189" spans="43:57" x14ac:dyDescent="0.2">
      <c r="AQ189" s="1120" t="s">
        <v>977</v>
      </c>
      <c r="AR189" s="1108">
        <v>8</v>
      </c>
      <c r="AS189" s="1108">
        <v>5.5</v>
      </c>
      <c r="AT189" s="1108">
        <v>5.0999999999999996</v>
      </c>
      <c r="AU189" s="1948">
        <f t="shared" si="22"/>
        <v>0.63749999999999996</v>
      </c>
      <c r="AV189" s="1122">
        <v>0.6</v>
      </c>
      <c r="AW189" s="1122">
        <v>0.65</v>
      </c>
      <c r="AX189" s="1122">
        <v>1</v>
      </c>
      <c r="BB189" s="604" t="s">
        <v>625</v>
      </c>
      <c r="BC189" s="1210">
        <v>87</v>
      </c>
      <c r="BD189" s="1210">
        <v>91</v>
      </c>
      <c r="BE189" s="1315">
        <v>96</v>
      </c>
    </row>
    <row r="190" spans="43:57" x14ac:dyDescent="0.2">
      <c r="AQ190" s="1120" t="s">
        <v>1902</v>
      </c>
      <c r="AR190" s="1108">
        <v>4</v>
      </c>
      <c r="AS190" s="1108">
        <v>2.5</v>
      </c>
      <c r="AT190" s="1108">
        <v>5</v>
      </c>
      <c r="AU190" s="1948">
        <f t="shared" si="22"/>
        <v>1.25</v>
      </c>
      <c r="AV190" s="1122">
        <v>0.4</v>
      </c>
      <c r="AW190" s="1122">
        <v>0.65</v>
      </c>
      <c r="AX190" s="1122">
        <v>1</v>
      </c>
      <c r="BB190" s="604" t="s">
        <v>187</v>
      </c>
      <c r="BC190" s="1210">
        <v>26</v>
      </c>
      <c r="BD190" s="1210">
        <v>28</v>
      </c>
      <c r="BE190" s="1315">
        <v>30</v>
      </c>
    </row>
    <row r="191" spans="43:57" x14ac:dyDescent="0.2">
      <c r="BB191" s="604"/>
      <c r="BC191" s="621" t="s">
        <v>163</v>
      </c>
      <c r="BD191" s="621"/>
      <c r="BE191" s="1566"/>
    </row>
    <row r="192" spans="43:57" x14ac:dyDescent="0.2">
      <c r="AQ192" s="1120" t="s">
        <v>871</v>
      </c>
      <c r="AR192" s="3476" t="s">
        <v>872</v>
      </c>
      <c r="AS192" s="3476"/>
      <c r="AT192" s="3476"/>
      <c r="AU192" s="709"/>
      <c r="AV192" s="1462" t="s">
        <v>1904</v>
      </c>
      <c r="AW192" s="1462"/>
      <c r="AX192" s="1462"/>
      <c r="BB192" s="604" t="s">
        <v>98</v>
      </c>
      <c r="BC192" s="576" t="s">
        <v>935</v>
      </c>
      <c r="BD192" s="576" t="s">
        <v>936</v>
      </c>
      <c r="BE192" s="1569" t="s">
        <v>937</v>
      </c>
    </row>
    <row r="193" spans="43:59" x14ac:dyDescent="0.2">
      <c r="AR193" s="1459" t="s">
        <v>625</v>
      </c>
      <c r="AS193" s="1459" t="s">
        <v>187</v>
      </c>
      <c r="AT193" s="1459" t="s">
        <v>665</v>
      </c>
      <c r="AU193" s="1948"/>
      <c r="AV193" s="1459" t="s">
        <v>625</v>
      </c>
      <c r="AW193" s="1459" t="s">
        <v>187</v>
      </c>
      <c r="AX193" s="1459" t="s">
        <v>665</v>
      </c>
      <c r="BB193" s="604" t="s">
        <v>538</v>
      </c>
      <c r="BC193" s="1210">
        <v>3800</v>
      </c>
      <c r="BD193" s="1210">
        <v>4000</v>
      </c>
      <c r="BE193" s="1315">
        <v>4300</v>
      </c>
    </row>
    <row r="194" spans="43:59" x14ac:dyDescent="0.2">
      <c r="AQ194" s="1214" t="s">
        <v>791</v>
      </c>
      <c r="AR194" s="1108">
        <v>13.7</v>
      </c>
      <c r="AS194" s="1108">
        <v>34</v>
      </c>
      <c r="AT194" s="1108">
        <v>4</v>
      </c>
      <c r="AU194" s="1948">
        <f>AT194/AR194</f>
        <v>0.29197080291970806</v>
      </c>
      <c r="AV194" s="1122">
        <v>0.3</v>
      </c>
      <c r="AW194" s="1122">
        <v>0.85</v>
      </c>
      <c r="AX194" s="1122">
        <v>1</v>
      </c>
      <c r="BB194" s="604" t="s">
        <v>219</v>
      </c>
      <c r="BC194" s="1210">
        <v>3200</v>
      </c>
      <c r="BD194" s="1210">
        <v>3300</v>
      </c>
      <c r="BE194" s="1315">
        <v>3850</v>
      </c>
    </row>
    <row r="195" spans="43:59" x14ac:dyDescent="0.2">
      <c r="AQ195" s="1214" t="s">
        <v>494</v>
      </c>
      <c r="AR195" s="1108">
        <v>11.2</v>
      </c>
      <c r="AS195" s="1108">
        <v>30.7</v>
      </c>
      <c r="AT195" s="1108">
        <v>3.4</v>
      </c>
      <c r="AU195" s="1948">
        <f>AT195/AR195</f>
        <v>0.3035714285714286</v>
      </c>
      <c r="AV195" s="1122">
        <v>0.3</v>
      </c>
      <c r="AW195" s="1122">
        <v>0.85</v>
      </c>
      <c r="AX195" s="1122">
        <v>1</v>
      </c>
      <c r="BB195" s="604" t="s">
        <v>625</v>
      </c>
      <c r="BC195" s="1210">
        <v>91</v>
      </c>
      <c r="BD195" s="1210">
        <v>96</v>
      </c>
      <c r="BE195" s="1315">
        <v>103</v>
      </c>
    </row>
    <row r="196" spans="43:59" x14ac:dyDescent="0.2">
      <c r="AQ196" s="1214" t="s">
        <v>792</v>
      </c>
      <c r="AR196" s="1108">
        <v>2.2999999999999998</v>
      </c>
      <c r="AS196" s="1108">
        <v>2.2999999999999998</v>
      </c>
      <c r="AT196" s="1108">
        <v>2.8</v>
      </c>
      <c r="AU196" s="1948">
        <f>AT196/AR196</f>
        <v>1.2173913043478262</v>
      </c>
      <c r="AV196" s="1122">
        <v>0.3</v>
      </c>
      <c r="AW196" s="1122">
        <v>0.85</v>
      </c>
      <c r="AX196" s="1122">
        <v>1</v>
      </c>
      <c r="BB196" s="758" t="s">
        <v>187</v>
      </c>
      <c r="BC196" s="1212">
        <v>26</v>
      </c>
      <c r="BD196" s="1212">
        <v>28</v>
      </c>
      <c r="BE196" s="1316">
        <v>30</v>
      </c>
    </row>
    <row r="197" spans="43:59" x14ac:dyDescent="0.2">
      <c r="AQ197" s="1214" t="s">
        <v>794</v>
      </c>
      <c r="AR197" s="1108">
        <v>6.5</v>
      </c>
      <c r="AS197" s="1108">
        <v>9.5</v>
      </c>
      <c r="AT197" s="1108">
        <v>8</v>
      </c>
      <c r="AU197" s="1948">
        <f>AT197/AR197</f>
        <v>1.2307692307692308</v>
      </c>
      <c r="AV197" s="1122">
        <v>0.2</v>
      </c>
      <c r="AW197" s="1122">
        <v>0.85</v>
      </c>
      <c r="AX197" s="1122">
        <v>1</v>
      </c>
    </row>
    <row r="198" spans="43:59" x14ac:dyDescent="0.2">
      <c r="AR198" s="1462" t="s">
        <v>37</v>
      </c>
      <c r="AS198" s="1462"/>
      <c r="AT198" s="1462"/>
      <c r="AU198" s="709"/>
      <c r="AV198" s="1462" t="s">
        <v>1904</v>
      </c>
      <c r="AW198" s="1462"/>
      <c r="AX198" s="1462"/>
      <c r="AZ198" s="1317" t="str">
        <f ca="1">CELL("adresse",Autonomie!$AR$89)</f>
        <v>'[Bilagreau7 exemple.xlsm]Autonomie'!$AR$89</v>
      </c>
      <c r="BA198" s="1317"/>
      <c r="BB198" s="1317"/>
      <c r="BC198" s="1317"/>
      <c r="BD198" s="1317"/>
      <c r="BE198" s="1317"/>
      <c r="BF198" s="1317"/>
      <c r="BG198" s="1594"/>
    </row>
    <row r="199" spans="43:59" x14ac:dyDescent="0.2">
      <c r="AQ199" s="1214"/>
      <c r="AR199" s="1459" t="s">
        <v>625</v>
      </c>
      <c r="AS199" s="1459" t="s">
        <v>187</v>
      </c>
      <c r="AT199" s="1459" t="s">
        <v>665</v>
      </c>
      <c r="AU199" s="709"/>
      <c r="AV199" s="1459" t="s">
        <v>625</v>
      </c>
      <c r="AW199" s="1459" t="s">
        <v>187</v>
      </c>
      <c r="AX199" s="1459" t="s">
        <v>665</v>
      </c>
      <c r="AZ199" s="1554" t="s">
        <v>1488</v>
      </c>
      <c r="BA199" s="841"/>
      <c r="BB199" s="841"/>
      <c r="BC199" s="841"/>
      <c r="BD199" s="841"/>
      <c r="BE199" s="841"/>
    </row>
    <row r="200" spans="43:59" x14ac:dyDescent="0.2">
      <c r="AQ200" s="1214" t="s">
        <v>793</v>
      </c>
      <c r="AR200" s="1122">
        <v>0.06</v>
      </c>
      <c r="AS200" s="1122">
        <v>0.28999999999999998</v>
      </c>
      <c r="AT200" s="1122">
        <v>2.09</v>
      </c>
      <c r="AU200" s="1948">
        <f>AT200/AR200</f>
        <v>34.833333333333336</v>
      </c>
      <c r="AV200" s="1122">
        <v>0.3</v>
      </c>
      <c r="AW200" s="1122">
        <v>0.85</v>
      </c>
      <c r="AX200" s="1122">
        <v>1</v>
      </c>
      <c r="BB200" t="s">
        <v>1652</v>
      </c>
      <c r="BC200" s="1518" t="s">
        <v>538</v>
      </c>
      <c r="BD200" s="1518" t="s">
        <v>219</v>
      </c>
      <c r="BE200" s="1518" t="s">
        <v>625</v>
      </c>
      <c r="BF200" s="1518" t="s">
        <v>187</v>
      </c>
      <c r="BG200" s="576"/>
    </row>
    <row r="201" spans="43:59" x14ac:dyDescent="0.2">
      <c r="AU201" s="709"/>
      <c r="BB201" t="s">
        <v>503</v>
      </c>
      <c r="BC201" s="1106">
        <v>2700</v>
      </c>
      <c r="BD201" s="1106">
        <v>2450</v>
      </c>
      <c r="BE201" s="1106">
        <v>72</v>
      </c>
      <c r="BF201" s="1106">
        <v>27</v>
      </c>
      <c r="BG201" s="1688"/>
    </row>
    <row r="202" spans="43:59" x14ac:dyDescent="0.2">
      <c r="AR202" s="1462" t="s">
        <v>37</v>
      </c>
      <c r="AS202" s="1462"/>
      <c r="AT202" s="1462"/>
      <c r="AU202" s="709"/>
      <c r="AV202" s="1462" t="s">
        <v>1904</v>
      </c>
      <c r="AW202" s="1462"/>
      <c r="AX202" s="1462"/>
      <c r="BB202" t="s">
        <v>502</v>
      </c>
      <c r="BC202" s="1106">
        <v>3200</v>
      </c>
      <c r="BD202" s="1106">
        <v>2700</v>
      </c>
      <c r="BE202" s="1106">
        <v>85</v>
      </c>
      <c r="BF202" s="1106">
        <v>24</v>
      </c>
      <c r="BG202" s="1688"/>
    </row>
    <row r="203" spans="43:59" x14ac:dyDescent="0.2">
      <c r="AQ203" s="1340" t="s">
        <v>1037</v>
      </c>
      <c r="AR203" s="1459" t="s">
        <v>625</v>
      </c>
      <c r="AS203" s="1459" t="s">
        <v>187</v>
      </c>
      <c r="AT203" s="1459" t="s">
        <v>665</v>
      </c>
      <c r="AU203" s="709"/>
      <c r="AV203" s="1459" t="s">
        <v>625</v>
      </c>
      <c r="AW203" s="1459" t="s">
        <v>187</v>
      </c>
      <c r="AX203" s="1459" t="s">
        <v>665</v>
      </c>
    </row>
    <row r="204" spans="43:59" x14ac:dyDescent="0.2">
      <c r="AQ204" s="1443" t="s">
        <v>1043</v>
      </c>
      <c r="AR204" s="1108">
        <v>4</v>
      </c>
      <c r="AS204" s="1108">
        <v>1.5</v>
      </c>
      <c r="AT204" s="1108">
        <v>6</v>
      </c>
      <c r="AU204" s="1948">
        <f>AT204/AR204</f>
        <v>1.5</v>
      </c>
      <c r="AV204" s="1426">
        <v>0.7</v>
      </c>
      <c r="AW204" s="1122">
        <v>0.8</v>
      </c>
      <c r="AX204" s="1122">
        <v>1</v>
      </c>
      <c r="AZ204" s="1710" t="str">
        <f ca="1">CELL("adresse",Autonomie!$AU$90)</f>
        <v>'[Bilagreau7 exemple.xlsm]Autonomie'!$AU$90</v>
      </c>
      <c r="BA204" s="1710"/>
      <c r="BB204" s="1710"/>
      <c r="BC204" s="1710"/>
      <c r="BD204" s="1710"/>
      <c r="BE204" s="1710"/>
      <c r="BF204" s="1710"/>
      <c r="BG204" s="1710"/>
    </row>
    <row r="205" spans="43:59" x14ac:dyDescent="0.2">
      <c r="AQ205" s="1443" t="s">
        <v>1044</v>
      </c>
      <c r="AR205" s="1108">
        <v>7</v>
      </c>
      <c r="AS205" s="1108">
        <v>4</v>
      </c>
      <c r="AT205" s="1108">
        <v>8</v>
      </c>
      <c r="AU205" s="1948">
        <f t="shared" ref="AU205:AU213" si="23">AT205/AR205</f>
        <v>1.1428571428571428</v>
      </c>
      <c r="AV205" s="1426">
        <v>0.7</v>
      </c>
      <c r="AW205" s="1122">
        <v>0.8</v>
      </c>
      <c r="AX205" s="1122">
        <v>1</v>
      </c>
      <c r="AZ205" s="1554" t="s">
        <v>1489</v>
      </c>
      <c r="BA205" s="841"/>
      <c r="BB205" s="841"/>
      <c r="BC205" s="841"/>
      <c r="BD205" s="841"/>
      <c r="BE205" s="841"/>
    </row>
    <row r="206" spans="43:59" x14ac:dyDescent="0.2">
      <c r="AQ206" s="1443" t="s">
        <v>743</v>
      </c>
      <c r="AR206" s="1108">
        <v>15</v>
      </c>
      <c r="AS206" s="1108">
        <v>7</v>
      </c>
      <c r="AT206" s="1108">
        <v>18</v>
      </c>
      <c r="AU206" s="1948">
        <f t="shared" si="23"/>
        <v>1.2</v>
      </c>
      <c r="AV206" s="1426">
        <v>0.7</v>
      </c>
      <c r="AW206" s="1122">
        <v>0.8</v>
      </c>
      <c r="AX206" s="1122">
        <v>1</v>
      </c>
      <c r="BC206" s="1518" t="s">
        <v>1490</v>
      </c>
      <c r="BD206" s="1518" t="s">
        <v>1491</v>
      </c>
      <c r="BE206" s="1518" t="s">
        <v>1492</v>
      </c>
    </row>
    <row r="207" spans="43:59" x14ac:dyDescent="0.2">
      <c r="AU207" s="709"/>
      <c r="BB207" s="1497" t="s">
        <v>1384</v>
      </c>
      <c r="BC207" s="1208">
        <v>0.83</v>
      </c>
      <c r="BD207" s="1208">
        <v>17</v>
      </c>
      <c r="BE207" s="1714">
        <v>4.5</v>
      </c>
    </row>
    <row r="208" spans="43:59" x14ac:dyDescent="0.2">
      <c r="AU208" s="709"/>
      <c r="BB208" s="1515" t="s">
        <v>370</v>
      </c>
      <c r="BC208" s="1212">
        <v>0.75</v>
      </c>
      <c r="BD208" s="1212">
        <v>26</v>
      </c>
      <c r="BE208" s="1316">
        <v>6</v>
      </c>
    </row>
    <row r="209" spans="43:59" x14ac:dyDescent="0.2">
      <c r="AR209" s="1462" t="s">
        <v>37</v>
      </c>
      <c r="AS209" s="1462"/>
      <c r="AT209" s="1462"/>
      <c r="AU209" s="709"/>
      <c r="AV209" s="1462" t="s">
        <v>1904</v>
      </c>
      <c r="AW209" s="1462"/>
      <c r="AX209" s="1462"/>
    </row>
    <row r="210" spans="43:59" x14ac:dyDescent="0.2">
      <c r="AQ210" s="1442" t="s">
        <v>1041</v>
      </c>
      <c r="AR210" s="1459" t="s">
        <v>625</v>
      </c>
      <c r="AS210" s="1459" t="s">
        <v>187</v>
      </c>
      <c r="AT210" s="1459" t="s">
        <v>665</v>
      </c>
      <c r="AU210" s="709"/>
      <c r="AV210" s="1459" t="s">
        <v>625</v>
      </c>
      <c r="AW210" s="1459" t="s">
        <v>187</v>
      </c>
      <c r="AX210" s="1459" t="s">
        <v>665</v>
      </c>
      <c r="AZ210" s="1317" t="str">
        <f ca="1">CELL("adresse",Autonomie!$AV$97)</f>
        <v>'[Bilagreau7 exemple.xlsm]Autonomie'!$AV$97</v>
      </c>
      <c r="BA210" s="1317"/>
      <c r="BB210" s="1317"/>
      <c r="BC210" s="1317"/>
      <c r="BD210" s="1317"/>
      <c r="BE210" s="1317"/>
      <c r="BF210" s="1317"/>
      <c r="BG210" s="1594"/>
    </row>
    <row r="211" spans="43:59" x14ac:dyDescent="0.2">
      <c r="AQ211" s="1443" t="s">
        <v>1043</v>
      </c>
      <c r="AR211" s="1108">
        <v>2</v>
      </c>
      <c r="AS211" s="1108">
        <v>2.5</v>
      </c>
      <c r="AT211" s="1108">
        <v>2</v>
      </c>
      <c r="AU211" s="1948">
        <f t="shared" si="23"/>
        <v>1</v>
      </c>
      <c r="AV211" s="1426">
        <v>0.7</v>
      </c>
      <c r="AW211" s="1122">
        <v>0.8</v>
      </c>
      <c r="AX211" s="1122">
        <v>1</v>
      </c>
      <c r="AZ211" s="841" t="s">
        <v>99</v>
      </c>
      <c r="BA211" s="841"/>
      <c r="BB211" s="841"/>
      <c r="BC211" s="841"/>
      <c r="BD211" s="841"/>
      <c r="BE211" s="841"/>
    </row>
    <row r="212" spans="43:59" x14ac:dyDescent="0.2">
      <c r="AQ212" s="1443" t="s">
        <v>1045</v>
      </c>
      <c r="AR212" s="1108">
        <v>7</v>
      </c>
      <c r="AS212" s="1108">
        <v>7</v>
      </c>
      <c r="AT212" s="1108">
        <v>1</v>
      </c>
      <c r="AU212" s="1948">
        <f t="shared" si="23"/>
        <v>0.14285714285714285</v>
      </c>
      <c r="AV212" s="1426">
        <v>0.7</v>
      </c>
      <c r="AW212" s="1122">
        <v>0.8</v>
      </c>
      <c r="AX212" s="1122">
        <v>1</v>
      </c>
      <c r="BB212" t="s">
        <v>67</v>
      </c>
      <c r="BC212" s="576" t="s">
        <v>935</v>
      </c>
      <c r="BD212" s="576" t="s">
        <v>936</v>
      </c>
      <c r="BE212" s="576" t="s">
        <v>937</v>
      </c>
    </row>
    <row r="213" spans="43:59" x14ac:dyDescent="0.2">
      <c r="AQ213" s="1443" t="s">
        <v>743</v>
      </c>
      <c r="AR213" s="1108">
        <v>9</v>
      </c>
      <c r="AS213" s="1108">
        <v>8</v>
      </c>
      <c r="AT213" s="1108">
        <v>2</v>
      </c>
      <c r="AU213" s="1948">
        <f t="shared" si="23"/>
        <v>0.22222222222222221</v>
      </c>
      <c r="AV213" s="1426">
        <v>0.7</v>
      </c>
      <c r="AW213" s="1122">
        <v>0.8</v>
      </c>
      <c r="AX213" s="1122">
        <v>1</v>
      </c>
      <c r="BB213" t="s">
        <v>538</v>
      </c>
      <c r="BC213" s="1210">
        <v>2600</v>
      </c>
      <c r="BD213" s="1210">
        <v>2700</v>
      </c>
      <c r="BE213" s="1210">
        <v>2900</v>
      </c>
    </row>
    <row r="214" spans="43:59" x14ac:dyDescent="0.2">
      <c r="BB214" t="s">
        <v>219</v>
      </c>
      <c r="BC214" s="1210">
        <v>2100</v>
      </c>
      <c r="BD214" s="1210">
        <v>2300</v>
      </c>
      <c r="BE214" s="1210">
        <v>2400</v>
      </c>
    </row>
    <row r="215" spans="43:59" x14ac:dyDescent="0.2">
      <c r="BB215" t="s">
        <v>625</v>
      </c>
      <c r="BC215" s="1210">
        <v>62</v>
      </c>
      <c r="BD215" s="1210">
        <v>65</v>
      </c>
      <c r="BE215" s="1210">
        <v>69</v>
      </c>
    </row>
    <row r="216" spans="43:59" x14ac:dyDescent="0.2">
      <c r="AQ216" s="1469" t="str">
        <f ca="1">CELL("adresse",Ferti_Cultures!AI160)</f>
        <v>'[Bilagreau7 exemple.xlsm]Ferti_Cultures'!$AI$160</v>
      </c>
      <c r="BB216" t="s">
        <v>187</v>
      </c>
      <c r="BC216" s="1210">
        <v>18</v>
      </c>
      <c r="BD216" s="1210">
        <v>19</v>
      </c>
      <c r="BE216" s="1210">
        <v>21</v>
      </c>
    </row>
    <row r="217" spans="43:59" x14ac:dyDescent="0.2">
      <c r="AQ217" s="1204" t="s">
        <v>897</v>
      </c>
      <c r="AR217" s="1376" t="s">
        <v>1012</v>
      </c>
      <c r="AS217" s="1376" t="s">
        <v>1013</v>
      </c>
    </row>
    <row r="218" spans="43:59" x14ac:dyDescent="0.2">
      <c r="AR218" s="1375">
        <v>250</v>
      </c>
      <c r="AS218" s="1375">
        <v>85</v>
      </c>
      <c r="AT218" t="s">
        <v>898</v>
      </c>
      <c r="AZ218" s="1317" t="str">
        <f ca="1">CELL("adresse",Autonomie!$BA$96)</f>
        <v>'[Bilagreau7 exemple.xlsm]Autonomie'!$BA$96</v>
      </c>
      <c r="BA218" s="1317"/>
      <c r="BB218" s="1317"/>
      <c r="BC218" s="1317"/>
      <c r="BD218" s="1317"/>
      <c r="BE218" s="1317"/>
      <c r="BF218" s="1317"/>
      <c r="BG218" s="1594"/>
    </row>
    <row r="219" spans="43:59" x14ac:dyDescent="0.2">
      <c r="AZ219" s="841" t="s">
        <v>100</v>
      </c>
      <c r="BA219" s="841"/>
      <c r="BB219" s="841"/>
      <c r="BC219" s="841"/>
      <c r="BD219" s="841"/>
      <c r="BE219" s="841"/>
    </row>
    <row r="220" spans="43:59" x14ac:dyDescent="0.2">
      <c r="AQ220" s="1204" t="s">
        <v>899</v>
      </c>
      <c r="AR220" s="1107">
        <v>300</v>
      </c>
      <c r="AT220" t="s">
        <v>898</v>
      </c>
      <c r="BB220" t="s">
        <v>68</v>
      </c>
    </row>
    <row r="221" spans="43:59" x14ac:dyDescent="0.2">
      <c r="BB221" t="s">
        <v>74</v>
      </c>
      <c r="BC221" s="576" t="s">
        <v>935</v>
      </c>
      <c r="BD221" s="576" t="s">
        <v>936</v>
      </c>
      <c r="BE221" s="576" t="s">
        <v>937</v>
      </c>
    </row>
    <row r="222" spans="43:59" x14ac:dyDescent="0.2">
      <c r="BB222" t="s">
        <v>538</v>
      </c>
      <c r="BC222" s="1210">
        <v>1800</v>
      </c>
      <c r="BD222" s="1210">
        <v>1900</v>
      </c>
      <c r="BE222" s="1210">
        <v>2100</v>
      </c>
    </row>
    <row r="223" spans="43:59" x14ac:dyDescent="0.2">
      <c r="BB223" t="s">
        <v>219</v>
      </c>
      <c r="BC223" s="1210">
        <v>1400</v>
      </c>
      <c r="BD223" s="1210">
        <v>1600</v>
      </c>
      <c r="BE223" s="1210">
        <v>1750</v>
      </c>
    </row>
    <row r="224" spans="43:59" x14ac:dyDescent="0.2">
      <c r="BB224" t="s">
        <v>625</v>
      </c>
      <c r="BC224" s="1210">
        <v>43</v>
      </c>
      <c r="BD224" s="1210">
        <v>46</v>
      </c>
      <c r="BE224" s="1210">
        <v>50</v>
      </c>
    </row>
    <row r="225" spans="52:59" x14ac:dyDescent="0.2">
      <c r="BB225" t="s">
        <v>187</v>
      </c>
      <c r="BC225" s="1210">
        <v>13</v>
      </c>
      <c r="BD225" s="1210">
        <v>14</v>
      </c>
      <c r="BE225" s="1210">
        <v>15</v>
      </c>
    </row>
    <row r="226" spans="52:59" x14ac:dyDescent="0.2">
      <c r="BB226" t="s">
        <v>68</v>
      </c>
    </row>
    <row r="227" spans="52:59" x14ac:dyDescent="0.2">
      <c r="BB227" t="s">
        <v>75</v>
      </c>
      <c r="BC227" s="576" t="s">
        <v>935</v>
      </c>
      <c r="BD227" s="576" t="s">
        <v>936</v>
      </c>
      <c r="BE227" s="576" t="s">
        <v>937</v>
      </c>
    </row>
    <row r="228" spans="52:59" x14ac:dyDescent="0.2">
      <c r="BB228" t="s">
        <v>538</v>
      </c>
      <c r="BC228" s="1210">
        <v>2300</v>
      </c>
      <c r="BD228" s="1210">
        <v>2450</v>
      </c>
      <c r="BE228" s="1210">
        <v>2600</v>
      </c>
    </row>
    <row r="229" spans="52:59" x14ac:dyDescent="0.2">
      <c r="BB229" t="s">
        <v>219</v>
      </c>
      <c r="BC229" s="1210">
        <v>1800</v>
      </c>
      <c r="BD229" s="1210">
        <v>1900</v>
      </c>
      <c r="BE229" s="1210">
        <v>2100</v>
      </c>
    </row>
    <row r="230" spans="52:59" x14ac:dyDescent="0.2">
      <c r="BB230" t="s">
        <v>625</v>
      </c>
      <c r="BC230" s="1210">
        <v>55</v>
      </c>
      <c r="BD230" s="1210">
        <v>58</v>
      </c>
      <c r="BE230" s="1210">
        <v>62</v>
      </c>
    </row>
    <row r="231" spans="52:59" x14ac:dyDescent="0.2">
      <c r="BB231" t="s">
        <v>187</v>
      </c>
      <c r="BC231" s="1210">
        <v>19</v>
      </c>
      <c r="BD231" s="1210">
        <v>21</v>
      </c>
      <c r="BE231" s="1210">
        <v>22</v>
      </c>
    </row>
    <row r="232" spans="52:59" x14ac:dyDescent="0.2">
      <c r="BB232" t="s">
        <v>68</v>
      </c>
    </row>
    <row r="233" spans="52:59" x14ac:dyDescent="0.2">
      <c r="BB233" t="s">
        <v>76</v>
      </c>
      <c r="BC233" s="576" t="s">
        <v>935</v>
      </c>
      <c r="BD233" s="576" t="s">
        <v>936</v>
      </c>
      <c r="BE233" s="576" t="s">
        <v>937</v>
      </c>
    </row>
    <row r="234" spans="52:59" x14ac:dyDescent="0.2">
      <c r="BB234" t="s">
        <v>538</v>
      </c>
      <c r="BC234" s="1210">
        <v>3700</v>
      </c>
      <c r="BD234" s="1210">
        <v>3800</v>
      </c>
      <c r="BE234" s="1210">
        <v>4000</v>
      </c>
    </row>
    <row r="235" spans="52:59" x14ac:dyDescent="0.2">
      <c r="BB235" t="s">
        <v>219</v>
      </c>
      <c r="BC235" s="1210">
        <v>2900</v>
      </c>
      <c r="BD235" s="1210">
        <v>3000</v>
      </c>
      <c r="BE235" s="1210">
        <v>3200</v>
      </c>
    </row>
    <row r="236" spans="52:59" x14ac:dyDescent="0.2">
      <c r="BB236" t="s">
        <v>625</v>
      </c>
      <c r="BC236" s="1210">
        <v>88</v>
      </c>
      <c r="BD236" s="1210">
        <v>91</v>
      </c>
      <c r="BE236" s="1210">
        <v>96</v>
      </c>
    </row>
    <row r="237" spans="52:59" x14ac:dyDescent="0.2">
      <c r="BB237" t="s">
        <v>187</v>
      </c>
      <c r="BC237" s="1210">
        <v>24</v>
      </c>
      <c r="BD237" s="1210">
        <v>26</v>
      </c>
      <c r="BE237" s="1210">
        <v>29</v>
      </c>
    </row>
    <row r="239" spans="52:59" x14ac:dyDescent="0.2">
      <c r="AZ239" s="1317" t="str">
        <f ca="1">CELL("adresse",Autonomie!$AI$99)</f>
        <v>'[Bilagreau7 exemple.xlsm]Autonomie'!$AI$99</v>
      </c>
      <c r="BA239" s="1317"/>
      <c r="BB239" s="1317"/>
      <c r="BC239" s="1317"/>
      <c r="BD239" s="1317"/>
      <c r="BE239" s="1317"/>
      <c r="BF239" s="1317"/>
      <c r="BG239" s="1594"/>
    </row>
    <row r="240" spans="52:59" x14ac:dyDescent="0.2">
      <c r="AZ240" s="841" t="s">
        <v>101</v>
      </c>
      <c r="BA240" s="841"/>
      <c r="BB240" s="841"/>
      <c r="BC240" s="841"/>
      <c r="BD240" s="841"/>
      <c r="BE240" s="841"/>
    </row>
    <row r="241" spans="52:59" x14ac:dyDescent="0.2">
      <c r="BB241" s="827" t="s">
        <v>77</v>
      </c>
      <c r="BC241" s="576" t="s">
        <v>538</v>
      </c>
      <c r="BD241" s="576" t="s">
        <v>219</v>
      </c>
      <c r="BE241" s="576" t="s">
        <v>625</v>
      </c>
      <c r="BF241" s="576" t="s">
        <v>187</v>
      </c>
      <c r="BG241" s="576"/>
    </row>
    <row r="242" spans="52:59" x14ac:dyDescent="0.2">
      <c r="BB242" t="s">
        <v>102</v>
      </c>
      <c r="BC242" s="1106">
        <v>410</v>
      </c>
      <c r="BD242" s="1106">
        <v>350</v>
      </c>
      <c r="BE242" s="1106">
        <v>11</v>
      </c>
      <c r="BF242" s="1106">
        <v>9</v>
      </c>
      <c r="BG242" s="1688"/>
    </row>
    <row r="243" spans="52:59" x14ac:dyDescent="0.2">
      <c r="BB243" t="s">
        <v>103</v>
      </c>
      <c r="BC243" s="1106">
        <v>450</v>
      </c>
      <c r="BD243" s="1106">
        <v>365</v>
      </c>
      <c r="BE243" s="1106">
        <v>12</v>
      </c>
      <c r="BF243" s="1106">
        <v>9</v>
      </c>
      <c r="BG243" s="1688"/>
    </row>
    <row r="245" spans="52:59" x14ac:dyDescent="0.2">
      <c r="AZ245" s="1702" t="str">
        <f ca="1">CELL("adresse",Autonomie!$AC$2)</f>
        <v>'[Bilagreau7 exemple.xlsm]Autonomie'!$AC$2</v>
      </c>
      <c r="BA245" s="1702"/>
      <c r="BB245" s="1702"/>
      <c r="BC245" s="1702"/>
      <c r="BD245" s="1702"/>
      <c r="BE245" s="1702"/>
      <c r="BF245" s="1702"/>
      <c r="BG245" s="1702"/>
    </row>
    <row r="246" spans="52:59" x14ac:dyDescent="0.2">
      <c r="AZ246" s="1554" t="s">
        <v>1477</v>
      </c>
      <c r="BA246" s="841"/>
      <c r="BB246" s="841"/>
      <c r="BC246" s="841"/>
      <c r="BD246" s="841"/>
      <c r="BE246" s="841"/>
    </row>
    <row r="247" spans="52:59" x14ac:dyDescent="0.2">
      <c r="AZ247" t="s">
        <v>50</v>
      </c>
    </row>
    <row r="248" spans="52:59" x14ac:dyDescent="0.2">
      <c r="BB248" t="s">
        <v>214</v>
      </c>
    </row>
    <row r="249" spans="52:59" x14ac:dyDescent="0.2">
      <c r="BB249" t="s">
        <v>993</v>
      </c>
    </row>
    <row r="250" spans="52:59" x14ac:dyDescent="0.2">
      <c r="BB250" t="s">
        <v>971</v>
      </c>
      <c r="BD250" s="1708">
        <v>0.1</v>
      </c>
    </row>
    <row r="251" spans="52:59" x14ac:dyDescent="0.2">
      <c r="BB251" s="1442" t="s">
        <v>2276</v>
      </c>
      <c r="BD251" s="1708">
        <v>0.15</v>
      </c>
    </row>
    <row r="252" spans="52:59" x14ac:dyDescent="0.2">
      <c r="BB252" s="1442" t="s">
        <v>2277</v>
      </c>
      <c r="BD252" s="1708">
        <v>0.15</v>
      </c>
    </row>
    <row r="253" spans="52:59" x14ac:dyDescent="0.2">
      <c r="BB253" t="s">
        <v>972</v>
      </c>
      <c r="BD253" s="1708">
        <v>0.2</v>
      </c>
    </row>
    <row r="254" spans="52:59" x14ac:dyDescent="0.2">
      <c r="BB254" t="s">
        <v>51</v>
      </c>
    </row>
    <row r="255" spans="52:59" x14ac:dyDescent="0.2">
      <c r="BB255" t="s">
        <v>993</v>
      </c>
    </row>
    <row r="256" spans="52:59" x14ac:dyDescent="0.2">
      <c r="BB256" t="s">
        <v>971</v>
      </c>
      <c r="BD256" s="1708">
        <v>0.1</v>
      </c>
    </row>
    <row r="257" spans="52:56" x14ac:dyDescent="0.2">
      <c r="BB257" s="1442" t="s">
        <v>2276</v>
      </c>
      <c r="BD257" s="1708">
        <v>0.15</v>
      </c>
    </row>
    <row r="258" spans="52:56" x14ac:dyDescent="0.2">
      <c r="BB258" s="1442" t="s">
        <v>2277</v>
      </c>
      <c r="BD258" s="1708">
        <v>0.15</v>
      </c>
    </row>
    <row r="259" spans="52:56" x14ac:dyDescent="0.2">
      <c r="BB259" t="s">
        <v>972</v>
      </c>
      <c r="BD259" s="1708">
        <v>0.2</v>
      </c>
    </row>
    <row r="260" spans="52:56" x14ac:dyDescent="0.2">
      <c r="BB260" t="s">
        <v>52</v>
      </c>
    </row>
    <row r="261" spans="52:56" x14ac:dyDescent="0.2">
      <c r="BB261" t="s">
        <v>993</v>
      </c>
    </row>
    <row r="262" spans="52:56" x14ac:dyDescent="0.2">
      <c r="BB262" t="s">
        <v>971</v>
      </c>
      <c r="BD262" s="1708">
        <v>0.1</v>
      </c>
    </row>
    <row r="263" spans="52:56" x14ac:dyDescent="0.2">
      <c r="BB263" s="1442" t="s">
        <v>2276</v>
      </c>
      <c r="BD263" s="1708">
        <v>0.15</v>
      </c>
    </row>
    <row r="264" spans="52:56" x14ac:dyDescent="0.2">
      <c r="BB264" s="1442" t="s">
        <v>2277</v>
      </c>
      <c r="BD264" s="1708">
        <v>0.15</v>
      </c>
    </row>
    <row r="265" spans="52:56" x14ac:dyDescent="0.2">
      <c r="BB265" t="s">
        <v>972</v>
      </c>
      <c r="BD265" s="1708">
        <v>0.2</v>
      </c>
    </row>
    <row r="266" spans="52:56" x14ac:dyDescent="0.2">
      <c r="BB266" s="603" t="s">
        <v>53</v>
      </c>
      <c r="BC266" s="603"/>
      <c r="BD266" s="2134">
        <v>0.1</v>
      </c>
    </row>
    <row r="267" spans="52:56" x14ac:dyDescent="0.2">
      <c r="BB267" t="s">
        <v>513</v>
      </c>
      <c r="BD267" s="1708">
        <v>0.1</v>
      </c>
    </row>
    <row r="269" spans="52:56" x14ac:dyDescent="0.2">
      <c r="AZ269" t="s">
        <v>1431</v>
      </c>
    </row>
    <row r="270" spans="52:56" x14ac:dyDescent="0.2">
      <c r="BA270" t="s">
        <v>507</v>
      </c>
    </row>
    <row r="271" spans="52:56" x14ac:dyDescent="0.2">
      <c r="BB271" t="s">
        <v>1160</v>
      </c>
      <c r="BD271" s="1708">
        <v>0.1</v>
      </c>
    </row>
    <row r="272" spans="52:56" x14ac:dyDescent="0.2">
      <c r="BB272" t="s">
        <v>228</v>
      </c>
      <c r="BD272" s="1708">
        <v>0.1</v>
      </c>
    </row>
    <row r="273" spans="53:56" x14ac:dyDescent="0.2">
      <c r="BB273" t="s">
        <v>226</v>
      </c>
      <c r="BD273" s="1708">
        <v>0.15</v>
      </c>
    </row>
    <row r="274" spans="53:56" x14ac:dyDescent="0.2">
      <c r="BB274" t="s">
        <v>227</v>
      </c>
      <c r="BD274" s="1708">
        <v>0.15</v>
      </c>
    </row>
    <row r="275" spans="53:56" x14ac:dyDescent="0.2">
      <c r="BB275" t="s">
        <v>1161</v>
      </c>
      <c r="BD275" s="1708">
        <v>0.1</v>
      </c>
    </row>
    <row r="276" spans="53:56" x14ac:dyDescent="0.2">
      <c r="BB276" t="s">
        <v>217</v>
      </c>
      <c r="BD276" s="1708">
        <v>0.1</v>
      </c>
    </row>
    <row r="277" spans="53:56" x14ac:dyDescent="0.2">
      <c r="BA277" t="s">
        <v>229</v>
      </c>
    </row>
    <row r="278" spans="53:56" x14ac:dyDescent="0.2">
      <c r="BB278" t="s">
        <v>54</v>
      </c>
    </row>
    <row r="279" spans="53:56" x14ac:dyDescent="0.2">
      <c r="BB279" t="s">
        <v>55</v>
      </c>
    </row>
    <row r="280" spans="53:56" x14ac:dyDescent="0.2">
      <c r="BB280" t="s">
        <v>56</v>
      </c>
    </row>
    <row r="281" spans="53:56" x14ac:dyDescent="0.2">
      <c r="BB281" t="s">
        <v>57</v>
      </c>
    </row>
    <row r="282" spans="53:56" x14ac:dyDescent="0.2">
      <c r="BB282" t="s">
        <v>58</v>
      </c>
      <c r="BD282" s="1708">
        <v>0.15</v>
      </c>
    </row>
    <row r="283" spans="53:56" x14ac:dyDescent="0.2">
      <c r="BB283" t="s">
        <v>217</v>
      </c>
      <c r="BD283" s="1708">
        <v>0.15</v>
      </c>
    </row>
    <row r="284" spans="53:56" x14ac:dyDescent="0.2">
      <c r="BA284" t="s">
        <v>61</v>
      </c>
    </row>
    <row r="285" spans="53:56" x14ac:dyDescent="0.2">
      <c r="BB285" t="s">
        <v>974</v>
      </c>
    </row>
    <row r="286" spans="53:56" x14ac:dyDescent="0.2">
      <c r="BB286" t="s">
        <v>59</v>
      </c>
    </row>
    <row r="287" spans="53:56" x14ac:dyDescent="0.2">
      <c r="BB287" t="s">
        <v>215</v>
      </c>
    </row>
    <row r="288" spans="53:56" x14ac:dyDescent="0.2">
      <c r="BB288" t="s">
        <v>213</v>
      </c>
    </row>
    <row r="289" spans="54:54" x14ac:dyDescent="0.2">
      <c r="BB289" t="s">
        <v>60</v>
      </c>
    </row>
  </sheetData>
  <sheetProtection algorithmName="SHA-512" hashValue="wb1F6AVG5EhkFQMZqMkfqQJyuTBjZALORX0zqBLylPm1lo7HxdcwZV1m0aqXthSiiOa88/883+OcFOmH9A5aCg==" saltValue="Fmtl8hehnG8fVnpdt1gQxw==" spinCount="100000" sheet="1" objects="1" scenarios="1"/>
  <sortState ref="GJ17:GL42">
    <sortCondition ref="GJ17:GJ42"/>
  </sortState>
  <mergeCells count="148">
    <mergeCell ref="DU3:DW3"/>
    <mergeCell ref="ET3:EV3"/>
    <mergeCell ref="EW3:EY3"/>
    <mergeCell ref="EQ3:ES3"/>
    <mergeCell ref="EF24:EN24"/>
    <mergeCell ref="EF25:EH25"/>
    <mergeCell ref="EI25:EK25"/>
    <mergeCell ref="EL25:EN25"/>
    <mergeCell ref="AJ16:AK16"/>
    <mergeCell ref="AL16:AM16"/>
    <mergeCell ref="CO3:CO5"/>
    <mergeCell ref="CP3:CP4"/>
    <mergeCell ref="DX3:DZ3"/>
    <mergeCell ref="X1:AA1"/>
    <mergeCell ref="CO1:CP1"/>
    <mergeCell ref="DD5:DF5"/>
    <mergeCell ref="CU3:DC3"/>
    <mergeCell ref="DG5:DI5"/>
    <mergeCell ref="CF3:CM3"/>
    <mergeCell ref="CA4:CB4"/>
    <mergeCell ref="CC4:CE4"/>
    <mergeCell ref="CF4:CG4"/>
    <mergeCell ref="CH4:CJ4"/>
    <mergeCell ref="CA1:CM1"/>
    <mergeCell ref="AC1:AE1"/>
    <mergeCell ref="CK4:CM4"/>
    <mergeCell ref="DD4:DL4"/>
    <mergeCell ref="BO1:BR1"/>
    <mergeCell ref="BV3:BX3"/>
    <mergeCell ref="X2:X3"/>
    <mergeCell ref="AH3:AH4"/>
    <mergeCell ref="CA3:CE3"/>
    <mergeCell ref="AR35:AW35"/>
    <mergeCell ref="DN25:DN26"/>
    <mergeCell ref="DD3:DL3"/>
    <mergeCell ref="FR1:GA1"/>
    <mergeCell ref="EP1:EY1"/>
    <mergeCell ref="FV3:FX3"/>
    <mergeCell ref="FY3:GA3"/>
    <mergeCell ref="DN1:DZ1"/>
    <mergeCell ref="FG1:FP1"/>
    <mergeCell ref="EB1:EN1"/>
    <mergeCell ref="EB23:EN23"/>
    <mergeCell ref="FS12:FU12"/>
    <mergeCell ref="FV12:FX12"/>
    <mergeCell ref="FY12:GA12"/>
    <mergeCell ref="FS3:FU3"/>
    <mergeCell ref="FN3:FP3"/>
    <mergeCell ref="EF2:EN2"/>
    <mergeCell ref="EF3:EH3"/>
    <mergeCell ref="EI3:EK3"/>
    <mergeCell ref="EL3:EN3"/>
    <mergeCell ref="CA13:CM13"/>
    <mergeCell ref="FA1:FE1"/>
    <mergeCell ref="FK3:FM3"/>
    <mergeCell ref="FH3:FJ3"/>
    <mergeCell ref="U1:V1"/>
    <mergeCell ref="U8:V8"/>
    <mergeCell ref="U9:U10"/>
    <mergeCell ref="DR87:DT87"/>
    <mergeCell ref="DU87:DW87"/>
    <mergeCell ref="DR66:DZ66"/>
    <mergeCell ref="DR67:DT67"/>
    <mergeCell ref="DU67:DW67"/>
    <mergeCell ref="DX67:DZ67"/>
    <mergeCell ref="DJ5:DL5"/>
    <mergeCell ref="DN64:DZ64"/>
    <mergeCell ref="DN85:DZ85"/>
    <mergeCell ref="DN43:DZ43"/>
    <mergeCell ref="DU24:DW24"/>
    <mergeCell ref="DN4:DN5"/>
    <mergeCell ref="DN22:DZ22"/>
    <mergeCell ref="DR24:DT24"/>
    <mergeCell ref="DX24:DZ24"/>
    <mergeCell ref="DR45:DT45"/>
    <mergeCell ref="DU45:DW45"/>
    <mergeCell ref="DX45:DZ45"/>
    <mergeCell ref="DR44:DZ44"/>
    <mergeCell ref="DN46:DN47"/>
    <mergeCell ref="AC38:AE38"/>
    <mergeCell ref="EF46:EN46"/>
    <mergeCell ref="EB81:ED82"/>
    <mergeCell ref="EF81:EH81"/>
    <mergeCell ref="EI81:EK81"/>
    <mergeCell ref="EF47:EH47"/>
    <mergeCell ref="EI47:EK47"/>
    <mergeCell ref="EL47:EN47"/>
    <mergeCell ref="C1:G1"/>
    <mergeCell ref="AH1:AO1"/>
    <mergeCell ref="E30:G30"/>
    <mergeCell ref="E34:G34"/>
    <mergeCell ref="I1:S1"/>
    <mergeCell ref="EB45:EN45"/>
    <mergeCell ref="EB67:EN67"/>
    <mergeCell ref="EB80:EN80"/>
    <mergeCell ref="DR2:DZ2"/>
    <mergeCell ref="DR23:DZ23"/>
    <mergeCell ref="DR3:DT3"/>
    <mergeCell ref="U2:U3"/>
    <mergeCell ref="CU5:CW5"/>
    <mergeCell ref="CX5:CZ5"/>
    <mergeCell ref="DA5:DC5"/>
    <mergeCell ref="CR1:DL1"/>
    <mergeCell ref="CU4:DC4"/>
    <mergeCell ref="AR135:AT135"/>
    <mergeCell ref="AV135:AX135"/>
    <mergeCell ref="AR192:AT192"/>
    <mergeCell ref="AR176:AT176"/>
    <mergeCell ref="AV176:AX176"/>
    <mergeCell ref="EL81:EN81"/>
    <mergeCell ref="EL68:EN68"/>
    <mergeCell ref="EF68:EH68"/>
    <mergeCell ref="EI68:EK68"/>
    <mergeCell ref="DX87:DZ87"/>
    <mergeCell ref="AR70:AV70"/>
    <mergeCell ref="AR74:AV74"/>
    <mergeCell ref="AR78:AV78"/>
    <mergeCell ref="AR82:AV82"/>
    <mergeCell ref="EF86:EH86"/>
    <mergeCell ref="EI86:EK86"/>
    <mergeCell ref="EL86:EN86"/>
    <mergeCell ref="EF92:EH92"/>
    <mergeCell ref="EI92:EK92"/>
    <mergeCell ref="EL92:EN92"/>
    <mergeCell ref="AC8:AE8"/>
    <mergeCell ref="AC9:AE10"/>
    <mergeCell ref="AN16:AO16"/>
    <mergeCell ref="AS5:AU5"/>
    <mergeCell ref="AV5:AX5"/>
    <mergeCell ref="BV15:BX15"/>
    <mergeCell ref="BV57:BX57"/>
    <mergeCell ref="BV65:BX65"/>
    <mergeCell ref="AZ1:BG1"/>
    <mergeCell ref="BI1:BM1"/>
    <mergeCell ref="BT1:BY1"/>
    <mergeCell ref="AR40:AW40"/>
    <mergeCell ref="AR45:AW45"/>
    <mergeCell ref="AR46:AT46"/>
    <mergeCell ref="AU46:AW46"/>
    <mergeCell ref="AU36:AW36"/>
    <mergeCell ref="AR36:AT36"/>
    <mergeCell ref="AU41:AW41"/>
    <mergeCell ref="AR41:AT41"/>
    <mergeCell ref="AR53:AV53"/>
    <mergeCell ref="AR57:AV57"/>
    <mergeCell ref="AR61:AV61"/>
    <mergeCell ref="AR65:AV65"/>
    <mergeCell ref="AH11:AH12"/>
  </mergeCells>
  <phoneticPr fontId="14" type="noConversion"/>
  <hyperlinks>
    <hyperlink ref="A8" location="Paramètres!C1" display="Saisie"/>
    <hyperlink ref="CP5" location="Paramètres!AO1" display="VLCalendrier"/>
    <hyperlink ref="A10" location="Paramètres!I1" display="RésultatsGlobaux"/>
    <hyperlink ref="A12" location="Paramètres!U1" display="Chargement"/>
    <hyperlink ref="A14" location="Paramètres!X1" display="PressionPrairies"/>
    <hyperlink ref="A18" location="Paramètres!AG1" display="FertiPrairies"/>
    <hyperlink ref="A20" location="Paramètres!AP1" display="FertiCultures"/>
    <hyperlink ref="A24" location="Paramètres!BH1" display="Achats"/>
    <hyperlink ref="CP5" location="Paramètres!AO13" display="VLCalendrier"/>
    <hyperlink ref="A16" location="Paramètres!AC1" display="PlanEpandage"/>
    <hyperlink ref="A22" location="Paramètres!AY1" display="Autonomie"/>
    <hyperlink ref="A30" location="Paramètres!BZ1" display="VLCalendrier"/>
    <hyperlink ref="A32" location="Paramètres!CN1" display="VLPartPaturage"/>
    <hyperlink ref="A34" location="Paramètres!CQ1" display="GénissesLaitières"/>
    <hyperlink ref="A36" location="Paramètres!DM1" display="Allaitant"/>
    <hyperlink ref="A38" location="Paramètres!EA1" display="Engraissement"/>
    <hyperlink ref="A40" location="Paramètres!EO1" display="Veaux Boucherie"/>
    <hyperlink ref="A42" location="Paramètres!EZ1" display="Porcs"/>
    <hyperlink ref="A44" location="Paramètres!FF1" display="Volailles"/>
    <hyperlink ref="A46" location="Paramètres!FQ1" display="Lapins"/>
    <hyperlink ref="A26" location="Paramètres!BN1" display="Résultats"/>
    <hyperlink ref="A28" location="Paramètres!BS1" display="Saisie bilan"/>
  </hyperlinks>
  <pageMargins left="0.78740157499999996" right="0.78740157499999996" top="0.984251969" bottom="0.984251969" header="0.4921259845" footer="0.4921259845"/>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tabColor theme="4" tint="-0.249977111117893"/>
  </sheetPr>
  <dimension ref="A1:BZ98"/>
  <sheetViews>
    <sheetView topLeftCell="A13" workbookViewId="0">
      <selection activeCell="B74" sqref="B74:N74"/>
    </sheetView>
  </sheetViews>
  <sheetFormatPr baseColWidth="10" defaultColWidth="11.42578125" defaultRowHeight="12.75" x14ac:dyDescent="0.2"/>
  <cols>
    <col min="1" max="1" width="3.28515625" style="23" customWidth="1"/>
    <col min="2" max="2" width="21.42578125" style="23" customWidth="1"/>
    <col min="3" max="3" width="6.42578125" style="23" customWidth="1"/>
    <col min="4" max="4" width="5.28515625" style="23" customWidth="1"/>
    <col min="5" max="5" width="23.28515625" style="23" customWidth="1"/>
    <col min="6" max="6" width="9.140625" style="23" customWidth="1"/>
    <col min="7" max="7" width="10" style="23" customWidth="1"/>
    <col min="8" max="8" width="8.28515625" style="23" customWidth="1"/>
    <col min="9" max="9" width="9.140625" style="23" customWidth="1"/>
    <col min="10" max="10" width="10" style="23" customWidth="1"/>
    <col min="11" max="11" width="8.28515625" style="23" customWidth="1"/>
    <col min="12" max="12" width="9.140625" style="23" customWidth="1"/>
    <col min="13" max="13" width="10" style="23" customWidth="1"/>
    <col min="14" max="14" width="8.28515625" style="23" customWidth="1"/>
    <col min="15" max="19" width="7.7109375" style="23" customWidth="1"/>
    <col min="20" max="22" width="11.42578125" style="23"/>
    <col min="23" max="23" width="2" style="23" customWidth="1"/>
    <col min="24" max="24" width="6.85546875" style="23" customWidth="1"/>
    <col min="25" max="25" width="15.85546875" style="23" bestFit="1" customWidth="1"/>
    <col min="26" max="26" width="6.5703125" style="23" customWidth="1"/>
    <col min="27" max="27" width="6.5703125" style="23" hidden="1" customWidth="1"/>
    <col min="28" max="28" width="10" style="23" hidden="1" customWidth="1"/>
    <col min="29" max="30" width="6.5703125" style="23" hidden="1" customWidth="1"/>
    <col min="31" max="31" width="10" style="23" hidden="1" customWidth="1"/>
    <col min="32" max="32" width="6.5703125" style="23" hidden="1" customWidth="1"/>
    <col min="33" max="33" width="7.5703125" style="23" hidden="1" customWidth="1"/>
    <col min="34" max="34" width="7" style="23" hidden="1" customWidth="1"/>
    <col min="35" max="35" width="10.42578125" style="23" hidden="1" customWidth="1"/>
    <col min="36" max="36" width="9.42578125" style="23" hidden="1" customWidth="1"/>
    <col min="37" max="37" width="11.42578125" style="23" hidden="1" customWidth="1"/>
    <col min="38" max="38" width="15.85546875" style="23" hidden="1" customWidth="1"/>
    <col min="39" max="39" width="13.5703125" style="23" hidden="1" customWidth="1"/>
    <col min="40" max="40" width="2.85546875" style="23" hidden="1" customWidth="1"/>
    <col min="41" max="41" width="11.28515625" style="23" hidden="1" customWidth="1"/>
    <col min="42" max="44" width="7.7109375" style="23" hidden="1" customWidth="1"/>
    <col min="45" max="47" width="9.5703125" style="23" hidden="1" customWidth="1"/>
    <col min="48" max="50" width="7.7109375" style="23" hidden="1" customWidth="1"/>
    <col min="51" max="51" width="3.42578125" style="23" hidden="1" customWidth="1"/>
    <col min="52" max="54" width="7.7109375" style="23" hidden="1" customWidth="1"/>
    <col min="55" max="57" width="9.5703125" style="23" hidden="1" customWidth="1"/>
    <col min="58" max="64" width="7.7109375" style="23" hidden="1" customWidth="1"/>
    <col min="65" max="67" width="9.5703125" style="23" hidden="1" customWidth="1"/>
    <col min="68" max="78" width="7.7109375" style="23" hidden="1" customWidth="1"/>
    <col min="79" max="98" width="7.7109375" style="23" customWidth="1"/>
    <col min="99" max="16384" width="11.42578125" style="23"/>
  </cols>
  <sheetData>
    <row r="1" spans="1:40" s="1586" customFormat="1" ht="18" x14ac:dyDescent="0.2">
      <c r="A1" s="2163"/>
      <c r="B1" s="2164" t="s">
        <v>2055</v>
      </c>
      <c r="C1" s="3090" t="s">
        <v>725</v>
      </c>
      <c r="D1" s="3090"/>
      <c r="E1" s="3090"/>
      <c r="F1" s="3090"/>
      <c r="G1" s="3090"/>
      <c r="H1" s="3090"/>
      <c r="I1" s="3090"/>
      <c r="J1" s="3090"/>
      <c r="K1" s="3090"/>
      <c r="L1" s="3090"/>
      <c r="M1" s="3090"/>
      <c r="N1" s="2163"/>
      <c r="O1" s="2163"/>
      <c r="P1" s="2163"/>
      <c r="Q1" s="2163"/>
      <c r="R1" s="2163"/>
      <c r="S1" s="2163"/>
      <c r="T1" s="2163"/>
      <c r="U1" s="2163"/>
      <c r="V1" s="2163"/>
      <c r="W1" s="2163"/>
      <c r="X1" s="2163"/>
      <c r="Y1" s="2163"/>
      <c r="Z1" s="2163"/>
    </row>
    <row r="2" spans="1:40" s="1586" customFormat="1" ht="20.25" x14ac:dyDescent="0.2">
      <c r="A2" s="2163"/>
      <c r="B2" s="2165"/>
      <c r="C2" s="3091" t="s">
        <v>2018</v>
      </c>
      <c r="D2" s="3091"/>
      <c r="E2" s="3091"/>
      <c r="F2" s="3091"/>
      <c r="G2" s="3091"/>
      <c r="H2" s="3091"/>
      <c r="I2" s="3091"/>
      <c r="J2" s="3091"/>
      <c r="K2" s="3091"/>
      <c r="L2" s="3091"/>
      <c r="M2" s="3091"/>
      <c r="N2" s="2163"/>
      <c r="O2" s="2163"/>
      <c r="P2" s="2163"/>
      <c r="Q2" s="2163"/>
      <c r="R2" s="2163"/>
      <c r="S2" s="2163"/>
      <c r="T2" s="2163"/>
      <c r="U2" s="2163"/>
      <c r="V2" s="2163"/>
      <c r="W2" s="2163"/>
      <c r="X2" s="2163"/>
      <c r="Y2" s="2163"/>
      <c r="Z2" s="2163"/>
    </row>
    <row r="3" spans="1:40" s="1586" customFormat="1" x14ac:dyDescent="0.2">
      <c r="A3" s="2163"/>
      <c r="B3" s="2163"/>
      <c r="C3" s="2163"/>
      <c r="D3" s="2163"/>
      <c r="E3" s="2163"/>
      <c r="F3" s="2163"/>
      <c r="G3" s="2163"/>
      <c r="H3" s="2163"/>
      <c r="I3" s="2163"/>
      <c r="J3" s="2163"/>
      <c r="K3" s="2163"/>
      <c r="L3" s="2163"/>
      <c r="M3" s="2163"/>
      <c r="N3" s="2163"/>
      <c r="O3" s="2163"/>
      <c r="P3" s="2163"/>
      <c r="Q3" s="2163"/>
      <c r="R3" s="2163"/>
      <c r="S3" s="2163"/>
      <c r="T3" s="2163"/>
      <c r="U3" s="2163"/>
      <c r="V3" s="2163"/>
      <c r="W3" s="2163"/>
      <c r="X3" s="2163"/>
      <c r="Y3" s="2163"/>
      <c r="Z3" s="2163"/>
    </row>
    <row r="4" spans="1:40" ht="20.25" x14ac:dyDescent="0.2">
      <c r="A4" s="2163"/>
      <c r="B4" s="3036" t="s">
        <v>725</v>
      </c>
      <c r="C4" s="3036"/>
      <c r="D4" s="3036"/>
      <c r="E4" s="3036"/>
      <c r="F4" s="3036"/>
      <c r="G4" s="3036"/>
      <c r="H4" s="3036"/>
      <c r="I4" s="3036"/>
      <c r="J4" s="3036"/>
      <c r="K4" s="3036"/>
      <c r="L4" s="3036"/>
      <c r="M4" s="3036"/>
      <c r="N4" s="3036"/>
      <c r="O4" s="2163"/>
      <c r="P4" s="2163"/>
      <c r="Q4" s="2163"/>
      <c r="R4" s="2163"/>
      <c r="S4" s="2163"/>
      <c r="T4" s="2163"/>
      <c r="U4" s="2163"/>
      <c r="V4" s="2163"/>
      <c r="W4" s="2163"/>
      <c r="X4" s="2163"/>
      <c r="Y4" s="2163"/>
      <c r="Z4" s="2163"/>
      <c r="AA4"/>
      <c r="AB4"/>
      <c r="AC4"/>
      <c r="AD4"/>
      <c r="AE4"/>
      <c r="AF4"/>
      <c r="AG4"/>
      <c r="AH4"/>
      <c r="AI4"/>
      <c r="AJ4"/>
      <c r="AK4"/>
      <c r="AL4"/>
      <c r="AM4"/>
      <c r="AN4"/>
    </row>
    <row r="5" spans="1:40" s="1493" customFormat="1" ht="15" x14ac:dyDescent="0.2">
      <c r="A5" s="2163"/>
      <c r="B5" s="3081" t="s">
        <v>2024</v>
      </c>
      <c r="C5" s="3081"/>
      <c r="D5" s="3081"/>
      <c r="E5" s="3081"/>
      <c r="F5" s="3081"/>
      <c r="G5" s="3081"/>
      <c r="H5" s="3081"/>
      <c r="I5" s="3081"/>
      <c r="J5" s="3081"/>
      <c r="K5" s="3081"/>
      <c r="L5" s="3081"/>
      <c r="M5" s="3081"/>
      <c r="N5" s="3081"/>
      <c r="O5" s="2163"/>
      <c r="P5" s="2163"/>
      <c r="Q5" s="2163"/>
      <c r="R5" s="2163"/>
      <c r="S5" s="2163"/>
      <c r="T5" s="2163"/>
      <c r="U5" s="2163"/>
      <c r="V5" s="2163"/>
      <c r="W5" s="2163"/>
      <c r="X5" s="2163"/>
      <c r="Y5" s="2163"/>
      <c r="Z5" s="2163"/>
      <c r="AA5"/>
      <c r="AB5"/>
      <c r="AC5"/>
      <c r="AD5"/>
      <c r="AE5"/>
      <c r="AF5"/>
      <c r="AG5"/>
      <c r="AH5"/>
      <c r="AI5"/>
      <c r="AJ5"/>
      <c r="AK5"/>
      <c r="AL5"/>
      <c r="AM5"/>
      <c r="AN5"/>
    </row>
    <row r="6" spans="1:40" ht="3" customHeight="1" thickBot="1" x14ac:dyDescent="0.25">
      <c r="A6" s="2163"/>
      <c r="B6" s="2163"/>
      <c r="C6" s="2163"/>
      <c r="D6" s="2163"/>
      <c r="E6" s="2163"/>
      <c r="F6" s="2163"/>
      <c r="G6" s="2163"/>
      <c r="H6" s="2163"/>
      <c r="I6" s="2163"/>
      <c r="J6" s="2163"/>
      <c r="K6" s="2163"/>
      <c r="L6" s="2163"/>
      <c r="M6" s="2163"/>
      <c r="N6" s="2163"/>
      <c r="O6" s="2163"/>
      <c r="P6" s="2163"/>
      <c r="Q6" s="2163"/>
      <c r="R6" s="2163"/>
      <c r="S6" s="2163"/>
      <c r="T6" s="2163"/>
      <c r="U6" s="2163"/>
      <c r="V6" s="2163"/>
      <c r="W6" s="2163"/>
      <c r="X6" s="2163"/>
      <c r="Y6" s="2163"/>
      <c r="Z6" s="2163"/>
      <c r="AA6"/>
      <c r="AB6"/>
      <c r="AC6"/>
      <c r="AD6"/>
      <c r="AE6"/>
      <c r="AF6"/>
      <c r="AG6"/>
      <c r="AH6"/>
      <c r="AI6"/>
      <c r="AJ6"/>
      <c r="AK6"/>
      <c r="AL6"/>
      <c r="AM6"/>
      <c r="AN6"/>
    </row>
    <row r="7" spans="1:40" ht="13.5" thickTop="1" x14ac:dyDescent="0.2">
      <c r="A7" s="2163"/>
      <c r="B7" s="2163"/>
      <c r="C7" s="2163"/>
      <c r="D7" s="2163"/>
      <c r="E7" s="2163"/>
      <c r="F7" s="3075" t="s">
        <v>722</v>
      </c>
      <c r="G7" s="3076"/>
      <c r="H7" s="3077"/>
      <c r="I7" s="3078" t="s">
        <v>723</v>
      </c>
      <c r="J7" s="3076"/>
      <c r="K7" s="3077"/>
      <c r="L7" s="3078" t="s">
        <v>724</v>
      </c>
      <c r="M7" s="3076"/>
      <c r="N7" s="3079"/>
      <c r="O7" s="2163"/>
      <c r="P7" s="2163"/>
      <c r="Q7" s="2163"/>
      <c r="R7" s="2163"/>
      <c r="S7" s="2163"/>
      <c r="T7" s="2163"/>
      <c r="U7" s="2163"/>
      <c r="V7" s="2163"/>
      <c r="W7" s="2163"/>
      <c r="X7" s="2163"/>
      <c r="Y7" s="2163"/>
      <c r="Z7" s="2163"/>
      <c r="AA7"/>
      <c r="AB7"/>
      <c r="AC7"/>
      <c r="AD7"/>
      <c r="AE7"/>
      <c r="AF7"/>
      <c r="AG7"/>
      <c r="AH7"/>
      <c r="AI7"/>
      <c r="AJ7"/>
      <c r="AK7"/>
      <c r="AL7"/>
      <c r="AM7"/>
      <c r="AN7"/>
    </row>
    <row r="8" spans="1:40" x14ac:dyDescent="0.2">
      <c r="A8" s="2163"/>
      <c r="B8" s="3094" t="s">
        <v>444</v>
      </c>
      <c r="C8" s="3094"/>
      <c r="D8" s="2166" t="str">
        <f>IF(AVL_JoConnus=1,"OUI",IF(AVL_JoConnus=2,"NON",""))</f>
        <v>OUI</v>
      </c>
      <c r="E8" s="2163"/>
      <c r="F8" s="2172" t="s">
        <v>249</v>
      </c>
      <c r="G8" s="2173" t="s">
        <v>247</v>
      </c>
      <c r="H8" s="2174" t="s">
        <v>244</v>
      </c>
      <c r="I8" s="2175" t="s">
        <v>249</v>
      </c>
      <c r="J8" s="2173" t="s">
        <v>247</v>
      </c>
      <c r="K8" s="2174" t="s">
        <v>244</v>
      </c>
      <c r="L8" s="2175" t="s">
        <v>249</v>
      </c>
      <c r="M8" s="2173" t="s">
        <v>247</v>
      </c>
      <c r="N8" s="2176" t="s">
        <v>244</v>
      </c>
      <c r="O8" s="2163"/>
      <c r="P8" s="2163"/>
      <c r="Q8" s="2163"/>
      <c r="R8" s="2163"/>
      <c r="S8" s="2163"/>
      <c r="T8" s="2163"/>
      <c r="U8" s="2163"/>
      <c r="V8" s="2163"/>
      <c r="W8" s="2163"/>
      <c r="X8" s="2163"/>
      <c r="Y8" s="2163"/>
      <c r="Z8" s="2163"/>
      <c r="AA8"/>
      <c r="AB8"/>
      <c r="AC8"/>
      <c r="AD8"/>
      <c r="AE8"/>
      <c r="AF8"/>
      <c r="AG8"/>
      <c r="AH8"/>
      <c r="AI8"/>
      <c r="AJ8"/>
      <c r="AK8"/>
      <c r="AL8"/>
      <c r="AM8"/>
      <c r="AN8"/>
    </row>
    <row r="9" spans="1:40" ht="13.5" thickBot="1" x14ac:dyDescent="0.25">
      <c r="A9" s="2163"/>
      <c r="B9" s="2167"/>
      <c r="C9" s="2168"/>
      <c r="D9" s="2168"/>
      <c r="E9" s="2169"/>
      <c r="F9" s="2177" t="s">
        <v>248</v>
      </c>
      <c r="G9" s="2178" t="s">
        <v>246</v>
      </c>
      <c r="H9" s="2179"/>
      <c r="I9" s="2180" t="s">
        <v>248</v>
      </c>
      <c r="J9" s="2178" t="s">
        <v>246</v>
      </c>
      <c r="K9" s="2179"/>
      <c r="L9" s="2180" t="s">
        <v>248</v>
      </c>
      <c r="M9" s="2178" t="s">
        <v>246</v>
      </c>
      <c r="N9" s="2181"/>
      <c r="O9" s="2163"/>
      <c r="P9" s="2163"/>
      <c r="Q9" s="2163"/>
      <c r="R9" s="2163"/>
      <c r="S9" s="2163"/>
      <c r="T9" s="2163"/>
      <c r="U9" s="2163"/>
      <c r="V9" s="2163"/>
      <c r="W9" s="2163"/>
      <c r="X9" s="2163"/>
      <c r="Y9" s="2163"/>
      <c r="Z9" s="2163"/>
      <c r="AA9"/>
      <c r="AB9"/>
      <c r="AC9"/>
      <c r="AD9"/>
      <c r="AE9"/>
      <c r="AF9"/>
      <c r="AG9"/>
      <c r="AH9"/>
      <c r="AI9"/>
      <c r="AJ9"/>
      <c r="AK9"/>
      <c r="AL9"/>
      <c r="AM9"/>
      <c r="AN9"/>
    </row>
    <row r="10" spans="1:40" ht="15" customHeight="1" thickTop="1" x14ac:dyDescent="0.2">
      <c r="A10" s="2163"/>
      <c r="B10" s="3082" t="s">
        <v>1087</v>
      </c>
      <c r="C10" s="3083"/>
      <c r="D10" s="3080" t="s">
        <v>452</v>
      </c>
      <c r="E10" s="3063"/>
      <c r="F10" s="2182">
        <f>IF($D$8="OUI",VLCalendrier!Q20,VLPartPaturage!N20)</f>
        <v>2923.0782836463427</v>
      </c>
      <c r="G10" s="2183">
        <f>IF($D$8="OUI",VLCalendrier!R20,VLPartPaturage!O20)</f>
        <v>2182.5414402195352</v>
      </c>
      <c r="H10" s="2184">
        <f>IF($D$8="OUI",VLCalendrier!S20,VLPartPaturage!P20)</f>
        <v>5105.6197238658779</v>
      </c>
      <c r="I10" s="2185">
        <f>IF($D$8="OUI",VLCalendrier!T20,VLPartPaturage!Q20)</f>
        <v>1321.1339963967189</v>
      </c>
      <c r="J10" s="2183">
        <f>IF($D$8="OUI",VLCalendrier!U20,VLPartPaturage!R20)</f>
        <v>712.61590498395185</v>
      </c>
      <c r="K10" s="2184">
        <f>IF($D$8="OUI",VLCalendrier!V20,VLPartPaturage!S20)</f>
        <v>2033.749901380671</v>
      </c>
      <c r="L10" s="2185">
        <f>IF($D$8="OUI",VLCalendrier!W20,VLPartPaturage!T20)</f>
        <v>3951.067791766387</v>
      </c>
      <c r="M10" s="2183">
        <f>IF($D$8="OUI",VLCalendrier!X20,VLPartPaturage!U20)</f>
        <v>2918.1808867345994</v>
      </c>
      <c r="N10" s="2186">
        <f>IF($D$8="OUI",VLCalendrier!Y20,VLPartPaturage!V20)</f>
        <v>6869.2486785009869</v>
      </c>
      <c r="O10" s="2163"/>
      <c r="P10" s="2163"/>
      <c r="Q10" s="2163"/>
      <c r="R10" s="2163"/>
      <c r="S10" s="2163"/>
      <c r="T10" s="2163"/>
      <c r="U10" s="2163"/>
      <c r="V10" s="2163"/>
      <c r="W10" s="2163"/>
      <c r="X10" s="2163"/>
      <c r="Y10" s="2163"/>
      <c r="Z10" s="2163"/>
      <c r="AA10"/>
      <c r="AB10"/>
      <c r="AC10"/>
      <c r="AD10"/>
      <c r="AE10"/>
      <c r="AF10"/>
      <c r="AG10"/>
      <c r="AH10"/>
      <c r="AI10"/>
      <c r="AJ10"/>
      <c r="AK10"/>
      <c r="AL10"/>
      <c r="AM10"/>
      <c r="AN10"/>
    </row>
    <row r="11" spans="1:40" ht="15" customHeight="1" x14ac:dyDescent="0.2">
      <c r="A11" s="2163"/>
      <c r="B11" s="3082"/>
      <c r="C11" s="3083"/>
      <c r="D11" s="3080" t="s">
        <v>439</v>
      </c>
      <c r="E11" s="3063"/>
      <c r="F11" s="2182">
        <f>GénissesLaitières!N20</f>
        <v>682.33333333333337</v>
      </c>
      <c r="G11" s="2183">
        <f>GénissesLaitières!O20</f>
        <v>958</v>
      </c>
      <c r="H11" s="2184">
        <f>GénissesLaitières!P20</f>
        <v>1640.3333333333335</v>
      </c>
      <c r="I11" s="2185">
        <f>GénissesLaitières!Q20</f>
        <v>279.33333333333331</v>
      </c>
      <c r="J11" s="2183">
        <f>GénissesLaitières!R20</f>
        <v>308.66666666666669</v>
      </c>
      <c r="K11" s="2184">
        <f>GénissesLaitières!S20</f>
        <v>588</v>
      </c>
      <c r="L11" s="2185">
        <f>GénissesLaitières!T20</f>
        <v>576.00000000000023</v>
      </c>
      <c r="M11" s="2183">
        <f>GénissesLaitières!U20</f>
        <v>1745.3333333333333</v>
      </c>
      <c r="N11" s="2186">
        <f>GénissesLaitières!V20</f>
        <v>2321.3333333333335</v>
      </c>
      <c r="O11" s="2163"/>
      <c r="P11" s="2163"/>
      <c r="Q11" s="2163"/>
      <c r="R11" s="2163"/>
      <c r="S11" s="2163"/>
      <c r="T11" s="2163"/>
      <c r="U11" s="2163"/>
      <c r="V11" s="2163"/>
      <c r="W11" s="2163"/>
      <c r="X11" s="2163"/>
      <c r="Y11" s="2163"/>
      <c r="Z11" s="2163"/>
      <c r="AA11"/>
      <c r="AB11"/>
      <c r="AC11"/>
      <c r="AD11"/>
      <c r="AE11"/>
      <c r="AF11"/>
      <c r="AG11"/>
      <c r="AH11"/>
      <c r="AI11"/>
      <c r="AJ11"/>
      <c r="AK11"/>
      <c r="AL11"/>
      <c r="AM11"/>
      <c r="AN11"/>
    </row>
    <row r="12" spans="1:40" ht="15" customHeight="1" x14ac:dyDescent="0.2">
      <c r="A12" s="2163"/>
      <c r="B12" s="3082"/>
      <c r="C12" s="3083"/>
      <c r="D12" s="3080" t="s">
        <v>379</v>
      </c>
      <c r="E12" s="3063"/>
      <c r="F12" s="2182">
        <f>Allaitant!N14</f>
        <v>440.73333333333335</v>
      </c>
      <c r="G12" s="2183">
        <f>Allaitant!O14</f>
        <v>1078</v>
      </c>
      <c r="H12" s="2184">
        <f>Allaitant!P14</f>
        <v>1518.7333333333333</v>
      </c>
      <c r="I12" s="2185">
        <f>Allaitant!Q14</f>
        <v>404.43333333333334</v>
      </c>
      <c r="J12" s="2183">
        <f>Allaitant!R14</f>
        <v>335.5</v>
      </c>
      <c r="K12" s="2184">
        <f>Allaitant!S14</f>
        <v>739.93333333333328</v>
      </c>
      <c r="L12" s="2185">
        <f>Allaitant!T14</f>
        <v>715</v>
      </c>
      <c r="M12" s="2183">
        <f>Allaitant!U14</f>
        <v>1738</v>
      </c>
      <c r="N12" s="2186">
        <f>Allaitant!V14</f>
        <v>2453</v>
      </c>
      <c r="O12" s="2163"/>
      <c r="P12" s="2163"/>
      <c r="Q12" s="2163"/>
      <c r="R12" s="2163"/>
      <c r="S12" s="2163"/>
      <c r="T12" s="2163"/>
      <c r="U12" s="2163"/>
      <c r="V12" s="2163"/>
      <c r="W12" s="2163"/>
      <c r="X12" s="2163"/>
      <c r="Y12" s="2163"/>
      <c r="Z12" s="2163"/>
      <c r="AA12"/>
      <c r="AB12"/>
      <c r="AC12"/>
      <c r="AD12"/>
      <c r="AE12"/>
      <c r="AF12"/>
      <c r="AG12"/>
      <c r="AH12"/>
      <c r="AI12"/>
      <c r="AJ12"/>
      <c r="AK12"/>
      <c r="AL12"/>
      <c r="AM12"/>
      <c r="AN12"/>
    </row>
    <row r="13" spans="1:40" ht="15" customHeight="1" x14ac:dyDescent="0.2">
      <c r="A13" s="2163"/>
      <c r="B13" s="3082"/>
      <c r="C13" s="3083"/>
      <c r="D13" s="3088" t="s">
        <v>1316</v>
      </c>
      <c r="E13" s="3089"/>
      <c r="F13" s="2182">
        <f>Allaitant!N20-F12</f>
        <v>323.39999999999998</v>
      </c>
      <c r="G13" s="2187">
        <f>Allaitant!O20-G12</f>
        <v>504</v>
      </c>
      <c r="H13" s="2187">
        <f>Allaitant!P20-H12</f>
        <v>827.39999999999986</v>
      </c>
      <c r="I13" s="2188">
        <f>Allaitant!Q20-I12</f>
        <v>144.59999999999997</v>
      </c>
      <c r="J13" s="2187">
        <f>Allaitant!R20-J12</f>
        <v>166</v>
      </c>
      <c r="K13" s="2187">
        <f>Allaitant!S20-K12</f>
        <v>310.60000000000002</v>
      </c>
      <c r="L13" s="2188">
        <f>Allaitant!T20-L12</f>
        <v>320</v>
      </c>
      <c r="M13" s="2187">
        <f>Allaitant!U20-M12</f>
        <v>840</v>
      </c>
      <c r="N13" s="2189">
        <f>Allaitant!V20-N12</f>
        <v>1160</v>
      </c>
      <c r="O13" s="2170"/>
      <c r="P13" s="2170"/>
      <c r="Q13" s="2170"/>
      <c r="R13" s="2170"/>
      <c r="S13" s="2170"/>
      <c r="T13" s="2170"/>
      <c r="U13" s="2170"/>
      <c r="V13" s="2170"/>
      <c r="W13" s="2170"/>
      <c r="X13" s="2170"/>
      <c r="Y13" s="2170"/>
      <c r="Z13" s="2170"/>
      <c r="AA13"/>
      <c r="AB13"/>
      <c r="AC13"/>
      <c r="AD13"/>
      <c r="AE13"/>
      <c r="AF13"/>
      <c r="AG13"/>
      <c r="AH13"/>
      <c r="AI13"/>
      <c r="AJ13"/>
      <c r="AK13"/>
      <c r="AL13"/>
      <c r="AM13"/>
      <c r="AN13"/>
    </row>
    <row r="14" spans="1:40" ht="15" customHeight="1" x14ac:dyDescent="0.2">
      <c r="A14" s="2163"/>
      <c r="B14" s="3082"/>
      <c r="C14" s="3083"/>
      <c r="D14" s="3080" t="s">
        <v>440</v>
      </c>
      <c r="E14" s="3063"/>
      <c r="F14" s="2182">
        <f>Engraissement!N26</f>
        <v>213</v>
      </c>
      <c r="G14" s="2183">
        <f>Engraissement!O26</f>
        <v>623</v>
      </c>
      <c r="H14" s="2184">
        <f>Engraissement!P26</f>
        <v>836</v>
      </c>
      <c r="I14" s="2185">
        <f>Engraissement!Q26</f>
        <v>50</v>
      </c>
      <c r="J14" s="2183">
        <f>Engraissement!R26</f>
        <v>224.95</v>
      </c>
      <c r="K14" s="2184">
        <f>Engraissement!S26</f>
        <v>274.95</v>
      </c>
      <c r="L14" s="2185">
        <f>Engraissement!T26</f>
        <v>180</v>
      </c>
      <c r="M14" s="2183">
        <f>Engraissement!U26</f>
        <v>929.5</v>
      </c>
      <c r="N14" s="2186">
        <f>Engraissement!V26</f>
        <v>1109.5</v>
      </c>
      <c r="O14" s="2163"/>
      <c r="P14" s="2163"/>
      <c r="Q14" s="2163"/>
      <c r="R14" s="2163"/>
      <c r="S14" s="2163"/>
      <c r="T14" s="2163"/>
      <c r="U14" s="2163"/>
      <c r="V14" s="2163"/>
      <c r="W14" s="2163"/>
      <c r="X14" s="2163"/>
      <c r="Y14" s="2163"/>
      <c r="Z14" s="2163"/>
      <c r="AA14"/>
      <c r="AB14"/>
      <c r="AC14"/>
      <c r="AD14"/>
      <c r="AE14"/>
      <c r="AF14"/>
      <c r="AG14"/>
      <c r="AH14"/>
      <c r="AI14"/>
      <c r="AJ14"/>
      <c r="AK14"/>
      <c r="AL14"/>
      <c r="AM14"/>
      <c r="AN14"/>
    </row>
    <row r="15" spans="1:40" ht="15" customHeight="1" x14ac:dyDescent="0.2">
      <c r="A15" s="2163"/>
      <c r="B15" s="3082"/>
      <c r="C15" s="3083"/>
      <c r="D15" s="3080" t="s">
        <v>199</v>
      </c>
      <c r="E15" s="3063"/>
      <c r="F15" s="2182">
        <f>VeauBoucherie!N6</f>
        <v>0</v>
      </c>
      <c r="G15" s="2183"/>
      <c r="H15" s="2184">
        <f>VeauBoucherie!P6</f>
        <v>0</v>
      </c>
      <c r="I15" s="2185">
        <f>VeauBoucherie!Q6</f>
        <v>0</v>
      </c>
      <c r="J15" s="2183"/>
      <c r="K15" s="2184">
        <f>VeauBoucherie!S6</f>
        <v>0</v>
      </c>
      <c r="L15" s="2185">
        <f>VeauBoucherie!T6</f>
        <v>0</v>
      </c>
      <c r="M15" s="2183"/>
      <c r="N15" s="2186">
        <f>VeauBoucherie!V6</f>
        <v>0</v>
      </c>
      <c r="O15" s="2163"/>
      <c r="P15" s="2163"/>
      <c r="Q15" s="2163"/>
      <c r="R15" s="2163"/>
      <c r="S15" s="2163"/>
      <c r="T15" s="2163"/>
      <c r="U15" s="2163"/>
      <c r="V15" s="2163"/>
      <c r="W15" s="2163"/>
      <c r="X15" s="2163"/>
      <c r="Y15" s="2163"/>
      <c r="Z15" s="2163"/>
      <c r="AA15"/>
      <c r="AB15"/>
      <c r="AC15"/>
      <c r="AD15"/>
      <c r="AE15"/>
      <c r="AF15"/>
      <c r="AG15"/>
      <c r="AH15"/>
      <c r="AI15"/>
      <c r="AJ15"/>
      <c r="AK15"/>
      <c r="AL15"/>
      <c r="AM15"/>
      <c r="AN15"/>
    </row>
    <row r="16" spans="1:40" ht="15" customHeight="1" x14ac:dyDescent="0.2">
      <c r="A16" s="2163"/>
      <c r="B16" s="3082"/>
      <c r="C16" s="3083"/>
      <c r="D16" s="3080" t="s">
        <v>441</v>
      </c>
      <c r="E16" s="3063"/>
      <c r="F16" s="2182">
        <f>Porcs!N10</f>
        <v>0</v>
      </c>
      <c r="G16" s="2183"/>
      <c r="H16" s="2184">
        <f>Porcs!P10</f>
        <v>0</v>
      </c>
      <c r="I16" s="2185">
        <f>Porcs!Q10</f>
        <v>0</v>
      </c>
      <c r="J16" s="2183"/>
      <c r="K16" s="2184">
        <f>Porcs!S10</f>
        <v>0</v>
      </c>
      <c r="L16" s="2185">
        <f>Porcs!T10</f>
        <v>0</v>
      </c>
      <c r="M16" s="2183"/>
      <c r="N16" s="2186">
        <f>Porcs!V10</f>
        <v>0</v>
      </c>
      <c r="O16" s="2163"/>
      <c r="P16" s="2163"/>
      <c r="Q16" s="2163"/>
      <c r="R16" s="2163"/>
      <c r="S16" s="2163"/>
      <c r="T16" s="2163"/>
      <c r="U16" s="2163"/>
      <c r="V16" s="2163"/>
      <c r="W16" s="2163"/>
      <c r="X16" s="2163"/>
      <c r="Y16" s="2163"/>
      <c r="Z16" s="2163"/>
      <c r="AA16"/>
      <c r="AB16"/>
      <c r="AC16"/>
      <c r="AD16"/>
      <c r="AE16"/>
      <c r="AF16"/>
      <c r="AG16"/>
      <c r="AH16"/>
      <c r="AI16"/>
      <c r="AJ16"/>
      <c r="AK16"/>
      <c r="AL16"/>
      <c r="AM16"/>
      <c r="AN16"/>
    </row>
    <row r="17" spans="1:40" ht="15" customHeight="1" x14ac:dyDescent="0.2">
      <c r="A17" s="2163"/>
      <c r="B17" s="3082"/>
      <c r="C17" s="3083"/>
      <c r="D17" s="3080" t="s">
        <v>442</v>
      </c>
      <c r="E17" s="3063"/>
      <c r="F17" s="2182">
        <f>Volailles!N62</f>
        <v>0</v>
      </c>
      <c r="G17" s="2183"/>
      <c r="H17" s="2184">
        <f>Volailles!P62</f>
        <v>0</v>
      </c>
      <c r="I17" s="2185">
        <f>Volailles!Q62</f>
        <v>0</v>
      </c>
      <c r="J17" s="2183"/>
      <c r="K17" s="2184">
        <f>Volailles!S62</f>
        <v>0</v>
      </c>
      <c r="L17" s="2185">
        <f>Volailles!T62</f>
        <v>0</v>
      </c>
      <c r="M17" s="2183"/>
      <c r="N17" s="2186">
        <f>Volailles!V62</f>
        <v>0</v>
      </c>
      <c r="O17" s="2163"/>
      <c r="P17" s="2163"/>
      <c r="Q17" s="2163"/>
      <c r="R17" s="2163"/>
      <c r="S17" s="2163"/>
      <c r="T17" s="2163"/>
      <c r="U17" s="2163"/>
      <c r="V17" s="2163"/>
      <c r="W17" s="2163"/>
      <c r="X17" s="2163"/>
      <c r="Y17" s="2163"/>
      <c r="Z17" s="2163"/>
      <c r="AA17"/>
      <c r="AB17"/>
      <c r="AC17"/>
      <c r="AD17"/>
      <c r="AE17"/>
      <c r="AF17"/>
      <c r="AG17"/>
      <c r="AH17"/>
      <c r="AI17"/>
      <c r="AJ17"/>
      <c r="AK17"/>
      <c r="AL17"/>
      <c r="AM17"/>
      <c r="AN17"/>
    </row>
    <row r="18" spans="1:40" ht="15" customHeight="1" x14ac:dyDescent="0.2">
      <c r="A18" s="2163"/>
      <c r="B18" s="3082"/>
      <c r="C18" s="3083"/>
      <c r="D18" s="3087" t="s">
        <v>443</v>
      </c>
      <c r="E18" s="3065"/>
      <c r="F18" s="2190">
        <f>Lapins!N12</f>
        <v>0</v>
      </c>
      <c r="G18" s="2191"/>
      <c r="H18" s="2192">
        <f>Lapins!P12</f>
        <v>0</v>
      </c>
      <c r="I18" s="2193">
        <f>Lapins!Q12</f>
        <v>0</v>
      </c>
      <c r="J18" s="2191"/>
      <c r="K18" s="2192">
        <f>Lapins!S12</f>
        <v>0</v>
      </c>
      <c r="L18" s="2193">
        <f>Lapins!T12</f>
        <v>0</v>
      </c>
      <c r="M18" s="2191"/>
      <c r="N18" s="2194">
        <f>Lapins!V12</f>
        <v>0</v>
      </c>
      <c r="O18" s="2163"/>
      <c r="P18" s="2163"/>
      <c r="Q18" s="2163"/>
      <c r="R18" s="2163"/>
      <c r="S18" s="2163"/>
      <c r="T18" s="2163"/>
      <c r="U18" s="2163"/>
      <c r="V18" s="2163"/>
      <c r="W18" s="2163"/>
      <c r="X18" s="2163"/>
      <c r="Y18" s="2163"/>
      <c r="Z18" s="2163"/>
      <c r="AA18"/>
      <c r="AB18"/>
      <c r="AC18"/>
      <c r="AD18"/>
      <c r="AE18"/>
      <c r="AF18"/>
      <c r="AG18"/>
      <c r="AH18"/>
      <c r="AI18"/>
      <c r="AJ18"/>
      <c r="AK18"/>
      <c r="AL18"/>
      <c r="AM18"/>
      <c r="AN18"/>
    </row>
    <row r="19" spans="1:40" ht="15" customHeight="1" x14ac:dyDescent="0.2">
      <c r="A19" s="2163"/>
      <c r="B19" s="3082"/>
      <c r="C19" s="3083"/>
      <c r="D19" s="3086" t="s">
        <v>200</v>
      </c>
      <c r="E19" s="3067"/>
      <c r="F19" s="2195">
        <f t="shared" ref="F19:N19" si="0">SUM(F10:F14)</f>
        <v>4582.5449503130094</v>
      </c>
      <c r="G19" s="2187">
        <f t="shared" si="0"/>
        <v>5345.5414402195347</v>
      </c>
      <c r="H19" s="2187">
        <f t="shared" si="0"/>
        <v>9928.0863905325441</v>
      </c>
      <c r="I19" s="2196">
        <f t="shared" si="0"/>
        <v>2199.5006630633857</v>
      </c>
      <c r="J19" s="2197">
        <f t="shared" si="0"/>
        <v>1747.7325716506186</v>
      </c>
      <c r="K19" s="2198">
        <f t="shared" si="0"/>
        <v>3947.2332347140041</v>
      </c>
      <c r="L19" s="2187">
        <f t="shared" si="0"/>
        <v>5742.067791766387</v>
      </c>
      <c r="M19" s="2187">
        <f t="shared" si="0"/>
        <v>8171.0142200679329</v>
      </c>
      <c r="N19" s="2199">
        <f t="shared" si="0"/>
        <v>13913.08201183432</v>
      </c>
      <c r="O19" s="2163"/>
      <c r="P19" s="2163"/>
      <c r="Q19" s="2163"/>
      <c r="R19" s="2163"/>
      <c r="S19" s="2163"/>
      <c r="T19" s="2163"/>
      <c r="U19" s="2163"/>
      <c r="V19" s="2163"/>
      <c r="W19" s="2163"/>
      <c r="X19" s="2163"/>
      <c r="Y19" s="2163"/>
      <c r="Z19" s="2163"/>
      <c r="AA19"/>
      <c r="AB19"/>
      <c r="AC19"/>
      <c r="AD19"/>
      <c r="AE19"/>
      <c r="AF19"/>
      <c r="AG19"/>
      <c r="AH19"/>
      <c r="AI19"/>
      <c r="AJ19"/>
      <c r="AK19"/>
      <c r="AL19"/>
      <c r="AM19"/>
      <c r="AN19"/>
    </row>
    <row r="20" spans="1:40" ht="15" customHeight="1" x14ac:dyDescent="0.2">
      <c r="A20" s="2163"/>
      <c r="B20" s="3082"/>
      <c r="C20" s="3083"/>
      <c r="D20" s="3095" t="s">
        <v>1276</v>
      </c>
      <c r="E20" s="3057"/>
      <c r="F20" s="2195">
        <f>SUM(F15:F18)</f>
        <v>0</v>
      </c>
      <c r="G20" s="2187"/>
      <c r="H20" s="2187">
        <f>SUM(H15:H18)</f>
        <v>0</v>
      </c>
      <c r="I20" s="2200">
        <f>SUM(I15:I18)</f>
        <v>0</v>
      </c>
      <c r="J20" s="2201"/>
      <c r="K20" s="2202">
        <f>SUM(K15:K18)</f>
        <v>0</v>
      </c>
      <c r="L20" s="2187">
        <f>SUM(L15:L18)</f>
        <v>0</v>
      </c>
      <c r="M20" s="2187"/>
      <c r="N20" s="2203">
        <f>SUM(N15:N18)</f>
        <v>0</v>
      </c>
      <c r="O20" s="2163"/>
      <c r="P20" s="2163"/>
      <c r="Q20" s="2163"/>
      <c r="R20" s="2163"/>
      <c r="S20" s="2163"/>
      <c r="T20" s="2163"/>
      <c r="U20" s="2163"/>
      <c r="V20" s="2163"/>
      <c r="W20" s="2163"/>
      <c r="X20" s="2163"/>
      <c r="Y20" s="2163"/>
      <c r="Z20" s="2163"/>
      <c r="AA20"/>
      <c r="AB20"/>
      <c r="AC20"/>
      <c r="AD20"/>
      <c r="AE20"/>
      <c r="AF20"/>
      <c r="AG20"/>
      <c r="AH20"/>
      <c r="AI20"/>
      <c r="AJ20"/>
      <c r="AK20"/>
      <c r="AL20"/>
      <c r="AM20"/>
      <c r="AN20"/>
    </row>
    <row r="21" spans="1:40" ht="15" customHeight="1" x14ac:dyDescent="0.2">
      <c r="A21" s="2163"/>
      <c r="B21" s="3082"/>
      <c r="C21" s="3083"/>
      <c r="D21" s="3096" t="s">
        <v>201</v>
      </c>
      <c r="E21" s="3097"/>
      <c r="F21" s="2204">
        <f>F19+F20</f>
        <v>4582.5449503130094</v>
      </c>
      <c r="G21" s="2205">
        <f t="shared" ref="G21:L21" si="1">G19+G20</f>
        <v>5345.5414402195347</v>
      </c>
      <c r="H21" s="2206">
        <f t="shared" si="1"/>
        <v>9928.0863905325441</v>
      </c>
      <c r="I21" s="2207">
        <f t="shared" si="1"/>
        <v>2199.5006630633857</v>
      </c>
      <c r="J21" s="2205">
        <f t="shared" si="1"/>
        <v>1747.7325716506186</v>
      </c>
      <c r="K21" s="2206">
        <f t="shared" si="1"/>
        <v>3947.2332347140041</v>
      </c>
      <c r="L21" s="2207">
        <f t="shared" si="1"/>
        <v>5742.067791766387</v>
      </c>
      <c r="M21" s="2205">
        <f>M19+M20</f>
        <v>8171.0142200679329</v>
      </c>
      <c r="N21" s="2208">
        <f>N19+N20</f>
        <v>13913.08201183432</v>
      </c>
      <c r="O21" s="2163"/>
      <c r="P21" s="2163"/>
      <c r="Q21" s="2163"/>
      <c r="R21" s="2163"/>
      <c r="S21" s="2163"/>
      <c r="T21" s="2163"/>
      <c r="U21" s="2163"/>
      <c r="V21" s="2163"/>
      <c r="W21" s="2163"/>
      <c r="X21" s="2163"/>
      <c r="Y21" s="2163"/>
      <c r="Z21" s="2163"/>
      <c r="AA21"/>
      <c r="AB21"/>
      <c r="AC21"/>
      <c r="AD21"/>
      <c r="AE21"/>
      <c r="AF21"/>
      <c r="AG21"/>
      <c r="AH21"/>
      <c r="AI21"/>
      <c r="AJ21"/>
      <c r="AK21"/>
      <c r="AL21"/>
      <c r="AM21"/>
      <c r="AN21"/>
    </row>
    <row r="22" spans="1:40" ht="15" customHeight="1" x14ac:dyDescent="0.2">
      <c r="A22" s="2163"/>
      <c r="B22" s="3082"/>
      <c r="C22" s="3083"/>
      <c r="D22" s="3098" t="s">
        <v>1720</v>
      </c>
      <c r="E22" s="3067"/>
      <c r="F22" s="2209">
        <f t="shared" ref="F22:N22" si="2">F10/VL_UgbVL</f>
        <v>53.710229836994692</v>
      </c>
      <c r="G22" s="2210">
        <f t="shared" si="2"/>
        <v>40.103203201498459</v>
      </c>
      <c r="H22" s="2211">
        <f t="shared" si="2"/>
        <v>93.813433038493159</v>
      </c>
      <c r="I22" s="2212">
        <f t="shared" si="2"/>
        <v>24.275234429718818</v>
      </c>
      <c r="J22" s="2210">
        <f t="shared" si="2"/>
        <v>13.09399213025552</v>
      </c>
      <c r="K22" s="2211">
        <f t="shared" si="2"/>
        <v>37.369226559974344</v>
      </c>
      <c r="L22" s="2212">
        <f t="shared" si="2"/>
        <v>72.599068038847946</v>
      </c>
      <c r="M22" s="2210">
        <f t="shared" si="2"/>
        <v>53.620242403129389</v>
      </c>
      <c r="N22" s="2213">
        <f t="shared" si="2"/>
        <v>126.21931044197736</v>
      </c>
      <c r="O22" s="2163"/>
      <c r="P22" s="2163"/>
      <c r="Q22" s="2163"/>
      <c r="R22" s="2163"/>
      <c r="S22" s="2163"/>
      <c r="T22" s="2163"/>
      <c r="U22" s="2163"/>
      <c r="V22" s="2163"/>
      <c r="W22" s="2163"/>
      <c r="X22" s="2163"/>
      <c r="Y22" s="2163"/>
      <c r="Z22" s="2163"/>
      <c r="AA22"/>
      <c r="AB22"/>
      <c r="AC22"/>
      <c r="AD22"/>
      <c r="AE22"/>
      <c r="AF22"/>
      <c r="AG22"/>
      <c r="AH22"/>
      <c r="AI22"/>
      <c r="AJ22"/>
      <c r="AK22"/>
      <c r="AL22"/>
      <c r="AM22"/>
      <c r="AN22"/>
    </row>
    <row r="23" spans="1:40" ht="15" customHeight="1" x14ac:dyDescent="0.2">
      <c r="A23" s="2163"/>
      <c r="B23" s="3082"/>
      <c r="C23" s="3083"/>
      <c r="D23" s="3088" t="s">
        <v>1721</v>
      </c>
      <c r="E23" s="3089"/>
      <c r="F23" s="2182">
        <f t="shared" ref="F23:N23" si="3">F12/TA_UgbVL</f>
        <v>25.041666666666664</v>
      </c>
      <c r="G23" s="2183">
        <f t="shared" si="3"/>
        <v>61.249999999999993</v>
      </c>
      <c r="H23" s="2184">
        <f t="shared" si="3"/>
        <v>86.291666666666657</v>
      </c>
      <c r="I23" s="2185">
        <f t="shared" si="3"/>
        <v>22.979166666666664</v>
      </c>
      <c r="J23" s="2183">
        <f t="shared" si="3"/>
        <v>19.0625</v>
      </c>
      <c r="K23" s="2184">
        <f t="shared" si="3"/>
        <v>42.041666666666657</v>
      </c>
      <c r="L23" s="2185">
        <f t="shared" si="3"/>
        <v>40.625</v>
      </c>
      <c r="M23" s="2183">
        <f t="shared" si="3"/>
        <v>98.749999999999986</v>
      </c>
      <c r="N23" s="2186">
        <f t="shared" si="3"/>
        <v>139.375</v>
      </c>
      <c r="O23" s="2163"/>
      <c r="P23" s="2163"/>
      <c r="Q23" s="2163"/>
      <c r="R23" s="2163"/>
      <c r="S23" s="2163"/>
      <c r="T23" s="2163"/>
      <c r="U23" s="2163"/>
      <c r="V23" s="2163"/>
      <c r="W23" s="2163"/>
      <c r="X23" s="2163"/>
      <c r="Y23" s="2163"/>
      <c r="Z23" s="2163"/>
      <c r="AA23"/>
      <c r="AB23"/>
      <c r="AC23"/>
      <c r="AD23"/>
      <c r="AE23"/>
      <c r="AF23"/>
      <c r="AG23"/>
      <c r="AH23"/>
      <c r="AI23"/>
      <c r="AJ23"/>
      <c r="AK23"/>
      <c r="AL23"/>
      <c r="AM23"/>
      <c r="AN23"/>
    </row>
    <row r="24" spans="1:40" ht="15" customHeight="1" thickBot="1" x14ac:dyDescent="0.25">
      <c r="A24" s="2163"/>
      <c r="B24" s="3084"/>
      <c r="C24" s="3085"/>
      <c r="D24" s="3088" t="s">
        <v>1086</v>
      </c>
      <c r="E24" s="3089"/>
      <c r="F24" s="2182">
        <f>F19/Ugb_Tot</f>
        <v>39.921190581354359</v>
      </c>
      <c r="G24" s="2183">
        <f t="shared" ref="G24:N24" si="4">G19/Ugb_Tot</f>
        <v>46.568092819461654</v>
      </c>
      <c r="H24" s="2184">
        <f t="shared" si="4"/>
        <v>86.489283400816021</v>
      </c>
      <c r="I24" s="2185">
        <f t="shared" si="4"/>
        <v>19.161118135452462</v>
      </c>
      <c r="J24" s="2183">
        <f t="shared" si="4"/>
        <v>15.225505878199664</v>
      </c>
      <c r="K24" s="2184">
        <f t="shared" si="4"/>
        <v>34.386624013652124</v>
      </c>
      <c r="L24" s="2185">
        <f t="shared" si="4"/>
        <v>50.022462437712697</v>
      </c>
      <c r="M24" s="2183">
        <f t="shared" si="4"/>
        <v>71.182414893717024</v>
      </c>
      <c r="N24" s="2186">
        <f t="shared" si="4"/>
        <v>121.20487733142973</v>
      </c>
      <c r="O24" s="2163"/>
      <c r="P24" s="2163"/>
      <c r="Q24" s="2163"/>
      <c r="R24" s="2163"/>
      <c r="S24" s="2163"/>
      <c r="T24" s="2163"/>
      <c r="U24" s="2163"/>
      <c r="V24" s="2163"/>
      <c r="W24" s="2163"/>
      <c r="X24" s="2163"/>
      <c r="Y24" s="2163"/>
      <c r="Z24" s="2163"/>
      <c r="AA24"/>
      <c r="AB24"/>
      <c r="AC24"/>
      <c r="AD24"/>
      <c r="AE24"/>
      <c r="AF24"/>
      <c r="AG24"/>
      <c r="AH24"/>
      <c r="AI24"/>
      <c r="AJ24"/>
      <c r="AK24"/>
      <c r="AL24"/>
      <c r="AM24"/>
      <c r="AN24"/>
    </row>
    <row r="25" spans="1:40" ht="30" customHeight="1" thickTop="1" x14ac:dyDescent="0.2">
      <c r="A25" s="2163"/>
      <c r="B25" s="2214"/>
      <c r="C25" s="2215" t="s">
        <v>156</v>
      </c>
      <c r="D25" s="3039" t="s">
        <v>992</v>
      </c>
      <c r="E25" s="3040"/>
      <c r="F25" s="2216" t="s">
        <v>1278</v>
      </c>
      <c r="G25" s="2217"/>
      <c r="H25" s="2218" t="s">
        <v>244</v>
      </c>
      <c r="I25" s="2216" t="s">
        <v>1278</v>
      </c>
      <c r="J25" s="2217"/>
      <c r="K25" s="2219" t="s">
        <v>244</v>
      </c>
      <c r="L25" s="2216" t="s">
        <v>1278</v>
      </c>
      <c r="M25" s="2217"/>
      <c r="N25" s="2220" t="s">
        <v>244</v>
      </c>
      <c r="O25" s="2163"/>
      <c r="P25" s="2163"/>
      <c r="Q25" s="2163"/>
      <c r="R25" s="2163"/>
      <c r="S25" s="2163"/>
      <c r="T25" s="2163"/>
      <c r="U25" s="2163"/>
      <c r="V25" s="2163"/>
      <c r="W25" s="2163"/>
      <c r="X25" s="2163"/>
      <c r="Y25" s="2163"/>
      <c r="Z25" s="2163"/>
      <c r="AA25"/>
      <c r="AB25"/>
      <c r="AC25"/>
      <c r="AD25"/>
      <c r="AE25"/>
      <c r="AF25"/>
      <c r="AG25"/>
      <c r="AH25"/>
      <c r="AI25"/>
      <c r="AJ25"/>
      <c r="AK25"/>
      <c r="AL25"/>
      <c r="AM25"/>
      <c r="AN25"/>
    </row>
    <row r="26" spans="1:40" ht="15" customHeight="1" x14ac:dyDescent="0.2">
      <c r="A26" s="2163"/>
      <c r="B26" s="2221" t="s">
        <v>446</v>
      </c>
      <c r="C26" s="2222">
        <f>SA_SAUtotale</f>
        <v>95</v>
      </c>
      <c r="D26" s="3047" t="str">
        <f>"● "&amp;B26</f>
        <v>● SAU</v>
      </c>
      <c r="E26" s="3048"/>
      <c r="F26" s="2223">
        <f>SUM(H$15:H$18)/$C26</f>
        <v>0</v>
      </c>
      <c r="G26" s="2224"/>
      <c r="H26" s="2224">
        <f>H$21/$C26</f>
        <v>104.50617253192152</v>
      </c>
      <c r="I26" s="2225">
        <f>SUM(K$15:K$18)/$C26</f>
        <v>0</v>
      </c>
      <c r="J26" s="2224"/>
      <c r="K26" s="2226">
        <f>K$21/$C26</f>
        <v>41.549823523305307</v>
      </c>
      <c r="L26" s="2227">
        <f>SUM(N$15:N$18)/$C26</f>
        <v>0</v>
      </c>
      <c r="M26" s="2224"/>
      <c r="N26" s="2228">
        <f>N$21/$C26</f>
        <v>146.4534948614139</v>
      </c>
      <c r="O26" s="2163"/>
      <c r="P26" s="2163"/>
      <c r="Q26" s="2163"/>
      <c r="R26" s="2163"/>
      <c r="S26" s="2163"/>
      <c r="T26" s="2163"/>
      <c r="U26" s="2163"/>
      <c r="V26" s="2163"/>
      <c r="W26" s="2163"/>
      <c r="X26" s="2163"/>
      <c r="Y26" s="2163"/>
      <c r="Z26" s="2163"/>
      <c r="AA26"/>
      <c r="AB26"/>
      <c r="AC26"/>
      <c r="AD26"/>
      <c r="AE26"/>
      <c r="AF26"/>
      <c r="AG26"/>
      <c r="AH26"/>
      <c r="AI26"/>
      <c r="AJ26"/>
      <c r="AK26"/>
      <c r="AL26"/>
      <c r="AM26"/>
      <c r="AN26"/>
    </row>
    <row r="27" spans="1:40" ht="15" customHeight="1" x14ac:dyDescent="0.2">
      <c r="A27" s="2163"/>
      <c r="B27" s="2221" t="s">
        <v>447</v>
      </c>
      <c r="C27" s="2222">
        <f>SA_SAUnette</f>
        <v>90</v>
      </c>
      <c r="D27" s="3047" t="str">
        <f t="shared" ref="D27:D32" si="5">"● "&amp;B27</f>
        <v>● SAU nette</v>
      </c>
      <c r="E27" s="3048"/>
      <c r="F27" s="2223">
        <f>SUM(H$15:H$18)/$C27</f>
        <v>0</v>
      </c>
      <c r="G27" s="2224"/>
      <c r="H27" s="2224">
        <f>H$21/$C27</f>
        <v>110.31207100591716</v>
      </c>
      <c r="I27" s="2225">
        <f>SUM(K$15:K$18)/$C27</f>
        <v>0</v>
      </c>
      <c r="J27" s="2224"/>
      <c r="K27" s="2226">
        <f>K$21/$C27</f>
        <v>43.858147052377824</v>
      </c>
      <c r="L27" s="2227">
        <f>SUM(N$15:N$18)/$C27</f>
        <v>0</v>
      </c>
      <c r="M27" s="2224"/>
      <c r="N27" s="2228">
        <f>N$21/$C27</f>
        <v>154.58980013149244</v>
      </c>
      <c r="O27" s="2163"/>
      <c r="P27" s="2163"/>
      <c r="Q27" s="2163"/>
      <c r="R27" s="2163"/>
      <c r="S27" s="2163"/>
      <c r="T27" s="2163"/>
      <c r="U27" s="2163"/>
      <c r="V27" s="2163"/>
      <c r="W27" s="2163"/>
      <c r="X27" s="2163"/>
      <c r="Y27" s="2163"/>
      <c r="Z27" s="2163"/>
      <c r="AA27"/>
      <c r="AB27"/>
      <c r="AC27"/>
      <c r="AD27"/>
      <c r="AE27"/>
      <c r="AF27"/>
      <c r="AG27"/>
      <c r="AH27"/>
      <c r="AI27"/>
      <c r="AJ27"/>
      <c r="AK27"/>
      <c r="AL27"/>
      <c r="AM27"/>
      <c r="AN27"/>
    </row>
    <row r="28" spans="1:40" ht="15" customHeight="1" x14ac:dyDescent="0.2">
      <c r="A28" s="2163"/>
      <c r="B28" s="2229" t="s">
        <v>2056</v>
      </c>
      <c r="C28" s="2222">
        <f>SA_SPE</f>
        <v>74</v>
      </c>
      <c r="D28" s="3047" t="str">
        <f>"● "&amp;B28</f>
        <v>● SPE (Surf. Pot. Epand.)</v>
      </c>
      <c r="E28" s="3048"/>
      <c r="F28" s="2223">
        <f>SUM(H$15:H$18)/$C28</f>
        <v>0</v>
      </c>
      <c r="G28" s="2224"/>
      <c r="H28" s="2224">
        <f>H$21/$C28</f>
        <v>134.16332960179113</v>
      </c>
      <c r="I28" s="2225">
        <f>SUM(K$15:K$18)/$C28</f>
        <v>0</v>
      </c>
      <c r="J28" s="2224"/>
      <c r="K28" s="2226">
        <f>K$21/$C28</f>
        <v>53.340989658297353</v>
      </c>
      <c r="L28" s="2227">
        <f>SUM(N$15:N$18)/$C28</f>
        <v>0</v>
      </c>
      <c r="M28" s="2224"/>
      <c r="N28" s="2228">
        <f>N$21/$C28</f>
        <v>188.01462178154486</v>
      </c>
      <c r="O28" s="2163"/>
      <c r="P28" s="2163"/>
      <c r="Q28" s="2163"/>
      <c r="R28" s="2163"/>
      <c r="S28" s="2163"/>
      <c r="T28" s="2163"/>
      <c r="U28" s="2163"/>
      <c r="V28" s="2163"/>
      <c r="W28" s="2163"/>
      <c r="X28" s="2163"/>
      <c r="Y28" s="2163"/>
      <c r="Z28" s="2163"/>
      <c r="AA28"/>
      <c r="AB28"/>
      <c r="AC28"/>
      <c r="AD28"/>
      <c r="AE28"/>
      <c r="AF28"/>
      <c r="AG28"/>
      <c r="AH28"/>
      <c r="AI28"/>
      <c r="AJ28"/>
      <c r="AK28"/>
      <c r="AL28"/>
      <c r="AM28"/>
      <c r="AN28"/>
    </row>
    <row r="29" spans="1:40" ht="15" customHeight="1" x14ac:dyDescent="0.2">
      <c r="A29" s="2163"/>
      <c r="B29" s="2221" t="s">
        <v>1031</v>
      </c>
      <c r="C29" s="2230">
        <f>SA_SAMO</f>
        <v>70</v>
      </c>
      <c r="D29" s="3047" t="str">
        <f t="shared" si="5"/>
        <v>● SAMO ou SRD</v>
      </c>
      <c r="E29" s="3048"/>
      <c r="F29" s="2223">
        <f>SUM(H$15:H$18)/$C29</f>
        <v>0</v>
      </c>
      <c r="G29" s="2224"/>
      <c r="H29" s="2224">
        <f>H$21/$C29</f>
        <v>141.82980557903633</v>
      </c>
      <c r="I29" s="2225">
        <f>SUM(K$15:K$18)/$C29</f>
        <v>0</v>
      </c>
      <c r="J29" s="2224"/>
      <c r="K29" s="2226">
        <f>K$21/$C29</f>
        <v>56.389046210200057</v>
      </c>
      <c r="L29" s="2227">
        <f>SUM(N$15:N$18)/$C29</f>
        <v>0</v>
      </c>
      <c r="M29" s="2224"/>
      <c r="N29" s="2228">
        <f>N$21/$C29</f>
        <v>198.75831445477601</v>
      </c>
      <c r="O29" s="2163"/>
      <c r="P29" s="2163"/>
      <c r="Q29" s="2163"/>
      <c r="R29" s="2163"/>
      <c r="S29" s="2163"/>
      <c r="T29" s="2163"/>
      <c r="U29" s="2163"/>
      <c r="V29" s="2163"/>
      <c r="W29" s="2163"/>
      <c r="X29" s="2163"/>
      <c r="Y29" s="2163"/>
      <c r="Z29" s="2163"/>
      <c r="AA29"/>
      <c r="AB29"/>
      <c r="AC29"/>
      <c r="AD29"/>
      <c r="AE29"/>
      <c r="AF29"/>
      <c r="AG29"/>
      <c r="AH29"/>
      <c r="AI29"/>
      <c r="AJ29"/>
      <c r="AK29"/>
      <c r="AL29"/>
      <c r="AM29"/>
      <c r="AN29"/>
    </row>
    <row r="30" spans="1:40" ht="15" customHeight="1" x14ac:dyDescent="0.2">
      <c r="A30" s="2163"/>
      <c r="B30" s="2221" t="s">
        <v>448</v>
      </c>
      <c r="C30" s="2222">
        <f>SA_SFP</f>
        <v>80</v>
      </c>
      <c r="D30" s="3047" t="str">
        <f>"● "&amp;B30&amp;" (Bovins)"</f>
        <v>● SFP (Bovins)</v>
      </c>
      <c r="E30" s="3048"/>
      <c r="F30" s="2231">
        <f t="shared" ref="F30:N30" si="6">F19/$C30</f>
        <v>57.28181187891262</v>
      </c>
      <c r="G30" s="2224">
        <f t="shared" si="6"/>
        <v>66.819268002744181</v>
      </c>
      <c r="H30" s="2224">
        <f t="shared" si="6"/>
        <v>124.1010798816568</v>
      </c>
      <c r="I30" s="2232">
        <f t="shared" si="6"/>
        <v>27.493758288292319</v>
      </c>
      <c r="J30" s="2224">
        <f t="shared" si="6"/>
        <v>21.846657145632733</v>
      </c>
      <c r="K30" s="2226">
        <f t="shared" si="6"/>
        <v>49.340415433925052</v>
      </c>
      <c r="L30" s="2224">
        <f t="shared" si="6"/>
        <v>71.775847397079843</v>
      </c>
      <c r="M30" s="2224">
        <f t="shared" si="6"/>
        <v>102.13767775084916</v>
      </c>
      <c r="N30" s="2228">
        <f t="shared" si="6"/>
        <v>173.91352514792899</v>
      </c>
      <c r="O30" s="2163"/>
      <c r="P30" s="2163"/>
      <c r="Q30" s="2163"/>
      <c r="R30" s="2163"/>
      <c r="S30" s="2163"/>
      <c r="T30" s="2163"/>
      <c r="U30" s="2163"/>
      <c r="V30" s="2163"/>
      <c r="W30" s="2163"/>
      <c r="X30" s="2163"/>
      <c r="Y30" s="2163"/>
      <c r="Z30" s="2163"/>
      <c r="AA30"/>
      <c r="AB30"/>
      <c r="AC30"/>
      <c r="AD30"/>
      <c r="AE30"/>
      <c r="AF30"/>
      <c r="AG30"/>
      <c r="AH30"/>
      <c r="AI30"/>
      <c r="AJ30"/>
      <c r="AK30"/>
      <c r="AL30"/>
      <c r="AM30"/>
      <c r="AN30"/>
    </row>
    <row r="31" spans="1:40" ht="15" customHeight="1" x14ac:dyDescent="0.2">
      <c r="A31" s="2163"/>
      <c r="B31" s="2229" t="s">
        <v>2164</v>
      </c>
      <c r="C31" s="2222">
        <f>SA_SFPc</f>
        <v>90</v>
      </c>
      <c r="D31" s="3037" t="str">
        <f>"● "&amp;B31&amp;" (Bovins)"</f>
        <v>● SFPc (SFP + conc.) (Bovins)</v>
      </c>
      <c r="E31" s="3038"/>
      <c r="F31" s="2231">
        <f t="shared" ref="F31:N31" si="7">F19/$C31</f>
        <v>50.917166114588994</v>
      </c>
      <c r="G31" s="2224">
        <f t="shared" si="7"/>
        <v>59.39490489132816</v>
      </c>
      <c r="H31" s="2224">
        <f t="shared" si="7"/>
        <v>110.31207100591716</v>
      </c>
      <c r="I31" s="2233">
        <f t="shared" si="7"/>
        <v>24.438896256259842</v>
      </c>
      <c r="J31" s="2234">
        <f t="shared" si="7"/>
        <v>19.419250796117986</v>
      </c>
      <c r="K31" s="2235">
        <f t="shared" si="7"/>
        <v>43.858147052377824</v>
      </c>
      <c r="L31" s="2224">
        <f t="shared" si="7"/>
        <v>63.800753241848746</v>
      </c>
      <c r="M31" s="2224">
        <f t="shared" si="7"/>
        <v>90.7890468896437</v>
      </c>
      <c r="N31" s="2228">
        <f t="shared" si="7"/>
        <v>154.58980013149244</v>
      </c>
      <c r="O31" s="2163"/>
      <c r="P31" s="2163"/>
      <c r="Q31" s="2163"/>
      <c r="R31" s="2163"/>
      <c r="S31" s="2163"/>
      <c r="T31" s="2163"/>
      <c r="U31" s="2163"/>
      <c r="V31" s="2163"/>
      <c r="W31" s="2163"/>
      <c r="X31" s="2163"/>
      <c r="Y31" s="2163"/>
      <c r="Z31" s="2163"/>
      <c r="AA31"/>
      <c r="AB31"/>
      <c r="AC31"/>
      <c r="AD31"/>
      <c r="AE31"/>
      <c r="AF31"/>
      <c r="AG31"/>
      <c r="AH31"/>
      <c r="AI31"/>
      <c r="AJ31"/>
      <c r="AK31"/>
      <c r="AL31"/>
      <c r="AM31"/>
      <c r="AN31"/>
    </row>
    <row r="32" spans="1:40" ht="15" customHeight="1" thickBot="1" x14ac:dyDescent="0.25">
      <c r="A32" s="2163"/>
      <c r="B32" s="2236" t="s">
        <v>2057</v>
      </c>
      <c r="C32" s="2237">
        <f>SA_SFP_Herbe</f>
        <v>65</v>
      </c>
      <c r="D32" s="3049" t="str">
        <f t="shared" si="5"/>
        <v>● Prairies (Rejets directs)</v>
      </c>
      <c r="E32" s="3050"/>
      <c r="F32" s="2238"/>
      <c r="G32" s="2239">
        <f>G$21/$C32</f>
        <v>82.239099080300534</v>
      </c>
      <c r="H32" s="2239"/>
      <c r="I32" s="2240"/>
      <c r="J32" s="2239">
        <f>J$21/$C32</f>
        <v>26.888193410009517</v>
      </c>
      <c r="K32" s="2241"/>
      <c r="L32" s="2239"/>
      <c r="M32" s="2239">
        <f>M$21/$C32</f>
        <v>125.70791107796821</v>
      </c>
      <c r="N32" s="2242"/>
      <c r="O32" s="2163"/>
      <c r="P32" s="2163"/>
      <c r="Q32" s="2163"/>
      <c r="R32" s="2163"/>
      <c r="S32" s="2163"/>
      <c r="T32" s="2163"/>
      <c r="U32" s="2163"/>
      <c r="V32" s="2163"/>
      <c r="W32" s="2163"/>
      <c r="X32" s="2163"/>
      <c r="Y32" s="2163"/>
      <c r="Z32" s="2163"/>
      <c r="AA32"/>
      <c r="AB32"/>
      <c r="AC32"/>
      <c r="AD32"/>
      <c r="AE32"/>
      <c r="AF32"/>
      <c r="AG32"/>
      <c r="AH32"/>
      <c r="AI32"/>
      <c r="AJ32"/>
      <c r="AK32"/>
      <c r="AL32"/>
      <c r="AM32"/>
      <c r="AN32"/>
    </row>
    <row r="33" spans="1:70" ht="67.5" customHeight="1" thickTop="1" thickBot="1" x14ac:dyDescent="0.25">
      <c r="A33" s="2163"/>
      <c r="B33" s="3041" t="s">
        <v>2411</v>
      </c>
      <c r="C33" s="3042"/>
      <c r="D33" s="3042"/>
      <c r="E33" s="3042"/>
      <c r="F33" s="3042"/>
      <c r="G33" s="3042"/>
      <c r="H33" s="3042"/>
      <c r="I33" s="3042"/>
      <c r="J33" s="3042"/>
      <c r="K33" s="3042"/>
      <c r="L33" s="3042"/>
      <c r="M33" s="3042"/>
      <c r="N33" s="3043"/>
      <c r="O33" s="2171"/>
      <c r="P33" s="2171"/>
      <c r="Q33" s="2171"/>
      <c r="R33" s="2171"/>
      <c r="S33" s="2171"/>
      <c r="T33" s="2171"/>
      <c r="U33" s="2171"/>
      <c r="V33" s="2171"/>
      <c r="W33" s="2171"/>
      <c r="X33" s="2171"/>
      <c r="Y33" s="2171"/>
      <c r="Z33" s="2171"/>
      <c r="AA33"/>
      <c r="AB33"/>
      <c r="AC33"/>
      <c r="AD33"/>
      <c r="AE33"/>
      <c r="AF33"/>
      <c r="AG33"/>
      <c r="AH33"/>
      <c r="AI33"/>
      <c r="AJ33"/>
      <c r="AK33"/>
      <c r="AL33"/>
      <c r="AM33"/>
      <c r="AN33"/>
    </row>
    <row r="34" spans="1:70" ht="15" customHeight="1" thickTop="1" x14ac:dyDescent="0.2">
      <c r="A34" s="2163"/>
      <c r="B34" s="2171"/>
      <c r="C34" s="2171"/>
      <c r="D34" s="2171"/>
      <c r="E34" s="2171"/>
      <c r="F34" s="2171"/>
      <c r="G34" s="2171"/>
      <c r="H34" s="2171"/>
      <c r="I34" s="2171"/>
      <c r="J34" s="2171"/>
      <c r="K34" s="2171"/>
      <c r="L34" s="2171"/>
      <c r="M34" s="2171"/>
      <c r="N34" s="2171"/>
      <c r="O34" s="2171"/>
      <c r="P34" s="2171"/>
      <c r="Q34" s="2171"/>
      <c r="R34" s="2171"/>
      <c r="S34" s="2171"/>
      <c r="T34" s="2171"/>
      <c r="U34" s="2171"/>
      <c r="V34" s="2171"/>
      <c r="W34" s="2171"/>
      <c r="X34" s="2171"/>
      <c r="Y34" s="2171"/>
      <c r="Z34" s="2171"/>
      <c r="AA34"/>
      <c r="AB34"/>
      <c r="AC34"/>
      <c r="AD34"/>
      <c r="AE34"/>
      <c r="AF34"/>
      <c r="AG34"/>
      <c r="AH34"/>
      <c r="AI34"/>
      <c r="AJ34"/>
      <c r="AK34"/>
      <c r="AL34"/>
      <c r="AM34"/>
      <c r="AN34"/>
    </row>
    <row r="35" spans="1:70" ht="15" customHeight="1" x14ac:dyDescent="0.2">
      <c r="A35" s="2163"/>
      <c r="B35" s="2171"/>
      <c r="C35" s="2171"/>
      <c r="D35" s="2171"/>
      <c r="E35" s="2171"/>
      <c r="F35" s="2171"/>
      <c r="G35" s="2171"/>
      <c r="H35" s="2171"/>
      <c r="I35" s="2171"/>
      <c r="J35" s="2171"/>
      <c r="K35" s="2171"/>
      <c r="L35" s="2171"/>
      <c r="M35" s="2171"/>
      <c r="N35" s="2171"/>
      <c r="O35" s="2171"/>
      <c r="P35" s="2171"/>
      <c r="Q35" s="2171"/>
      <c r="R35" s="2171"/>
      <c r="S35" s="2171"/>
      <c r="T35" s="2171"/>
      <c r="U35" s="2171"/>
      <c r="V35" s="2171"/>
      <c r="W35" s="2171"/>
      <c r="X35" s="2171"/>
      <c r="Y35" s="2171"/>
      <c r="Z35" s="2171"/>
      <c r="AA35"/>
      <c r="AB35"/>
      <c r="AC35"/>
      <c r="AD35"/>
      <c r="AE35"/>
      <c r="AF35"/>
      <c r="AG35"/>
      <c r="AH35"/>
      <c r="AI35"/>
      <c r="AJ35"/>
      <c r="AK35"/>
      <c r="AL35"/>
      <c r="AM35"/>
      <c r="AN35"/>
    </row>
    <row r="36" spans="1:70" ht="18.75" customHeight="1" thickBot="1" x14ac:dyDescent="0.25">
      <c r="A36" s="2163"/>
      <c r="B36" s="3036" t="s">
        <v>2018</v>
      </c>
      <c r="C36" s="3036"/>
      <c r="D36" s="3036"/>
      <c r="E36" s="3036"/>
      <c r="F36" s="3036"/>
      <c r="G36" s="3036"/>
      <c r="H36" s="3036"/>
      <c r="I36" s="3036"/>
      <c r="J36" s="3036"/>
      <c r="K36" s="3036"/>
      <c r="L36" s="3036"/>
      <c r="M36" s="3036"/>
      <c r="N36" s="3036"/>
      <c r="O36" s="2171"/>
      <c r="P36" s="2171"/>
      <c r="Q36" s="2171"/>
      <c r="R36" s="2171"/>
      <c r="S36" s="2171"/>
      <c r="T36" s="2171"/>
      <c r="U36" s="2171"/>
      <c r="V36" s="2171"/>
      <c r="W36" s="2171"/>
      <c r="X36" s="2171"/>
      <c r="Y36" s="2171"/>
      <c r="Z36" s="2171"/>
      <c r="AA36"/>
      <c r="AB36"/>
      <c r="AC36"/>
      <c r="AD36"/>
      <c r="AE36"/>
      <c r="AF36"/>
      <c r="AG36"/>
      <c r="AH36"/>
      <c r="AI36"/>
      <c r="AJ36"/>
      <c r="AK36"/>
      <c r="AL36" s="3093" t="s">
        <v>1020</v>
      </c>
      <c r="AM36" s="3093"/>
      <c r="AN36"/>
      <c r="AP36" s="1405">
        <f>COLUMN()</f>
        <v>42</v>
      </c>
      <c r="AQ36"/>
      <c r="AR36"/>
      <c r="AS36"/>
      <c r="AT36"/>
      <c r="AU36"/>
      <c r="AV36"/>
      <c r="AW36"/>
      <c r="AX36"/>
      <c r="AZ36" s="1405">
        <f>COLUMN()</f>
        <v>52</v>
      </c>
      <c r="BJ36" s="1405">
        <f>COLUMN()</f>
        <v>62</v>
      </c>
    </row>
    <row r="37" spans="1:70" ht="15" customHeight="1" thickTop="1" x14ac:dyDescent="0.2">
      <c r="A37" s="2163"/>
      <c r="B37" s="2243"/>
      <c r="C37" s="2244"/>
      <c r="D37" s="2244"/>
      <c r="E37" s="2245"/>
      <c r="F37" s="3072" t="s">
        <v>722</v>
      </c>
      <c r="G37" s="3069"/>
      <c r="H37" s="3070"/>
      <c r="I37" s="3068" t="s">
        <v>723</v>
      </c>
      <c r="J37" s="3069"/>
      <c r="K37" s="3070"/>
      <c r="L37" s="3068" t="s">
        <v>724</v>
      </c>
      <c r="M37" s="3069"/>
      <c r="N37" s="3071"/>
      <c r="O37" s="2171"/>
      <c r="P37" s="2171"/>
      <c r="Q37" s="2171"/>
      <c r="R37" s="2171"/>
      <c r="S37" s="2171"/>
      <c r="T37" s="2171"/>
      <c r="U37" s="2171"/>
      <c r="V37" s="2171"/>
      <c r="W37" s="2171"/>
      <c r="X37" s="2171"/>
      <c r="Y37" s="2171"/>
      <c r="Z37" s="2171"/>
      <c r="AA37"/>
      <c r="AB37"/>
      <c r="AC37"/>
      <c r="AD37"/>
      <c r="AE37"/>
      <c r="AF37"/>
      <c r="AG37"/>
      <c r="AH37"/>
      <c r="AI37"/>
      <c r="AJ37"/>
      <c r="AK37"/>
      <c r="AL37" s="1422">
        <f>VL_Litrage</f>
        <v>6800</v>
      </c>
      <c r="AM37" s="1423">
        <f>IF(AVL_Paturage="",0,AVL_Paturage/30.4)</f>
        <v>6.25</v>
      </c>
      <c r="AP37" s="1392" t="s">
        <v>430</v>
      </c>
      <c r="AQ37" s="1378"/>
      <c r="AR37" s="1393"/>
      <c r="AS37" s="1378"/>
      <c r="AT37" s="1378"/>
      <c r="AU37" s="1378"/>
      <c r="AV37" s="1377"/>
      <c r="AW37" s="1378"/>
      <c r="AX37" s="1393"/>
      <c r="AZ37" s="1392" t="s">
        <v>1017</v>
      </c>
      <c r="BA37" s="1378"/>
      <c r="BB37" s="1393"/>
      <c r="BC37" s="1378"/>
      <c r="BD37" s="1378"/>
      <c r="BE37" s="1378"/>
      <c r="BF37" s="1377"/>
      <c r="BG37" s="1378"/>
      <c r="BH37" s="1393"/>
      <c r="BJ37" s="1392" t="s">
        <v>1018</v>
      </c>
      <c r="BK37" s="1378"/>
      <c r="BL37" s="1393"/>
      <c r="BM37" s="1378"/>
      <c r="BN37" s="1378"/>
      <c r="BO37" s="1378"/>
      <c r="BP37" s="1377"/>
      <c r="BQ37" s="1378"/>
      <c r="BR37" s="1393"/>
    </row>
    <row r="38" spans="1:70" ht="15" customHeight="1" x14ac:dyDescent="0.2">
      <c r="A38" s="2163"/>
      <c r="B38" s="2246"/>
      <c r="C38" s="2247"/>
      <c r="D38" s="2247"/>
      <c r="E38" s="2248"/>
      <c r="F38" s="2249"/>
      <c r="G38" s="2250"/>
      <c r="H38" s="2251" t="s">
        <v>244</v>
      </c>
      <c r="I38" s="2252"/>
      <c r="J38" s="2250"/>
      <c r="K38" s="2251" t="s">
        <v>244</v>
      </c>
      <c r="L38" s="2252"/>
      <c r="M38" s="2250"/>
      <c r="N38" s="2253" t="s">
        <v>244</v>
      </c>
      <c r="O38" s="2171"/>
      <c r="P38" s="2171"/>
      <c r="Q38" s="2171"/>
      <c r="R38" s="2171"/>
      <c r="S38" s="2171"/>
      <c r="T38" s="2171"/>
      <c r="U38" s="2171"/>
      <c r="V38" s="2171"/>
      <c r="W38" s="2171"/>
      <c r="X38" s="2171"/>
      <c r="Y38" s="2171"/>
      <c r="Z38" s="2171"/>
      <c r="AA38"/>
      <c r="AB38"/>
      <c r="AC38"/>
      <c r="AD38"/>
      <c r="AE38"/>
      <c r="AF38"/>
      <c r="AG38"/>
      <c r="AH38" s="3092" t="s">
        <v>1019</v>
      </c>
      <c r="AI38" s="3092"/>
      <c r="AJ38" s="3092"/>
      <c r="AK38"/>
      <c r="AL38" s="1413" t="str">
        <f>Paramètres!J4</f>
        <v>Production laitière</v>
      </c>
      <c r="AM38" s="1414" t="str">
        <f>Paramètres!J5</f>
        <v>Durée pâturage</v>
      </c>
      <c r="AN38"/>
      <c r="AO38" s="1391" t="str">
        <f>AL38</f>
        <v>Production laitière</v>
      </c>
      <c r="AP38" s="1397">
        <f>Paramètres!K4</f>
        <v>6000</v>
      </c>
      <c r="AQ38" s="1398">
        <f>Paramètres!L4</f>
        <v>6000</v>
      </c>
      <c r="AR38" s="1399">
        <f>Paramètres!M4</f>
        <v>6000</v>
      </c>
      <c r="AS38" s="1397" t="str">
        <f>Paramètres!N4</f>
        <v>6000-8000</v>
      </c>
      <c r="AT38" s="1398" t="str">
        <f>Paramètres!O4</f>
        <v>6000-8000</v>
      </c>
      <c r="AU38" s="1398" t="str">
        <f>Paramètres!P4</f>
        <v>6000-8000</v>
      </c>
      <c r="AV38" s="1397">
        <f>Paramètres!Q4</f>
        <v>8000</v>
      </c>
      <c r="AW38" s="1398">
        <f>Paramètres!R4</f>
        <v>8000</v>
      </c>
      <c r="AX38" s="1399">
        <f>Paramètres!S4</f>
        <v>8000</v>
      </c>
      <c r="AY38" s="1394"/>
      <c r="AZ38" s="1397">
        <f>Paramètres!K31</f>
        <v>6000</v>
      </c>
      <c r="BA38" s="1398">
        <f>Paramètres!L31</f>
        <v>6000</v>
      </c>
      <c r="BB38" s="1399">
        <f>Paramètres!M31</f>
        <v>6000</v>
      </c>
      <c r="BC38" s="1397" t="str">
        <f>Paramètres!N31</f>
        <v>6000-8000</v>
      </c>
      <c r="BD38" s="1398" t="str">
        <f>Paramètres!O31</f>
        <v>6000-8000</v>
      </c>
      <c r="BE38" s="1398" t="str">
        <f>Paramètres!P31</f>
        <v>6000-8000</v>
      </c>
      <c r="BF38" s="1397">
        <f>Paramètres!Q31</f>
        <v>8000</v>
      </c>
      <c r="BG38" s="1398">
        <f>Paramètres!R31</f>
        <v>8000</v>
      </c>
      <c r="BH38" s="1399">
        <f>Paramètres!S31</f>
        <v>8000</v>
      </c>
      <c r="BJ38" s="1397">
        <f>Paramètres!K58</f>
        <v>6000</v>
      </c>
      <c r="BK38" s="1398">
        <f>Paramètres!L58</f>
        <v>6000</v>
      </c>
      <c r="BL38" s="1399">
        <f>Paramètres!M58</f>
        <v>6000</v>
      </c>
      <c r="BM38" s="1397" t="str">
        <f>Paramètres!N58</f>
        <v>6000-8000</v>
      </c>
      <c r="BN38" s="1398" t="str">
        <f>Paramètres!O58</f>
        <v>6000-8000</v>
      </c>
      <c r="BO38" s="1398" t="str">
        <f>Paramètres!P58</f>
        <v>6000-8000</v>
      </c>
      <c r="BP38" s="1397">
        <f>Paramètres!Q58</f>
        <v>8000</v>
      </c>
      <c r="BQ38" s="1398">
        <f>Paramètres!R58</f>
        <v>8000</v>
      </c>
      <c r="BR38" s="1399">
        <f>Paramètres!S58</f>
        <v>8000</v>
      </c>
    </row>
    <row r="39" spans="1:70" ht="15" customHeight="1" x14ac:dyDescent="0.2">
      <c r="A39" s="2163"/>
      <c r="B39" s="2246"/>
      <c r="C39" s="2247"/>
      <c r="D39" s="2247"/>
      <c r="E39" s="2248"/>
      <c r="F39" s="2254"/>
      <c r="G39" s="2255"/>
      <c r="H39" s="2256"/>
      <c r="I39" s="2257"/>
      <c r="J39" s="2255"/>
      <c r="K39" s="2256"/>
      <c r="L39" s="2257"/>
      <c r="M39" s="2255"/>
      <c r="N39" s="2258"/>
      <c r="O39" s="2171"/>
      <c r="P39" s="2171"/>
      <c r="Q39" s="2171"/>
      <c r="R39" s="2171"/>
      <c r="S39" s="2171"/>
      <c r="T39" s="2171"/>
      <c r="U39" s="2171"/>
      <c r="V39" s="2171"/>
      <c r="W39" s="2171"/>
      <c r="X39" s="2171"/>
      <c r="Y39" s="2171"/>
      <c r="Z39" s="2171"/>
      <c r="AA39"/>
      <c r="AB39"/>
      <c r="AC39"/>
      <c r="AD39"/>
      <c r="AE39"/>
      <c r="AF39"/>
      <c r="AG39" s="712" t="s">
        <v>431</v>
      </c>
      <c r="AH39" s="712" t="s">
        <v>430</v>
      </c>
      <c r="AI39" s="1412" t="s">
        <v>1017</v>
      </c>
      <c r="AJ39" s="1412" t="s">
        <v>1018</v>
      </c>
      <c r="AK39"/>
      <c r="AL39" s="1405">
        <f>IF(AL37&lt;=AP38,0,IF(AL37&gt;AV38,6,3))</f>
        <v>3</v>
      </c>
      <c r="AM39" s="1405">
        <f>IF(AM37&lt;=AP39,0,IF(AM37&gt;AR39,2,1))</f>
        <v>1</v>
      </c>
      <c r="AN39"/>
      <c r="AO39" s="1391" t="str">
        <f>AM38</f>
        <v>Durée pâturage</v>
      </c>
      <c r="AP39" s="1409">
        <f>Paramètres!K5</f>
        <v>4</v>
      </c>
      <c r="AQ39" s="1410" t="str">
        <f>Paramètres!L5</f>
        <v>4-7</v>
      </c>
      <c r="AR39" s="1411">
        <f>Paramètres!M5</f>
        <v>7</v>
      </c>
      <c r="AS39" s="1410">
        <f>Paramètres!N5</f>
        <v>4</v>
      </c>
      <c r="AT39" s="1410" t="str">
        <f>Paramètres!O5</f>
        <v>4-7</v>
      </c>
      <c r="AU39" s="1410">
        <f>Paramètres!P5</f>
        <v>7</v>
      </c>
      <c r="AV39" s="1409">
        <f>Paramètres!Q5</f>
        <v>4</v>
      </c>
      <c r="AW39" s="1410" t="str">
        <f>Paramètres!R5</f>
        <v>4-7</v>
      </c>
      <c r="AX39" s="1411">
        <f>Paramètres!S5</f>
        <v>7</v>
      </c>
      <c r="AY39" s="1394"/>
      <c r="AZ39" s="1409">
        <f>Paramètres!K32</f>
        <v>4</v>
      </c>
      <c r="BA39" s="1410" t="str">
        <f>Paramètres!L32</f>
        <v>4-7</v>
      </c>
      <c r="BB39" s="1411">
        <f>Paramètres!M32</f>
        <v>7</v>
      </c>
      <c r="BC39" s="1410">
        <f>Paramètres!N32</f>
        <v>4</v>
      </c>
      <c r="BD39" s="1410" t="str">
        <f>Paramètres!O32</f>
        <v>4-7</v>
      </c>
      <c r="BE39" s="1410">
        <f>Paramètres!P32</f>
        <v>7</v>
      </c>
      <c r="BF39" s="1409">
        <f>Paramètres!Q32</f>
        <v>4</v>
      </c>
      <c r="BG39" s="1410" t="str">
        <f>Paramètres!R32</f>
        <v>4-7</v>
      </c>
      <c r="BH39" s="1411">
        <f>Paramètres!S32</f>
        <v>7</v>
      </c>
      <c r="BJ39" s="1409">
        <f>Paramètres!K59</f>
        <v>4</v>
      </c>
      <c r="BK39" s="1410" t="str">
        <f>Paramètres!L59</f>
        <v>4-7</v>
      </c>
      <c r="BL39" s="1411">
        <f>Paramètres!M59</f>
        <v>7</v>
      </c>
      <c r="BM39" s="1410">
        <f>Paramètres!N59</f>
        <v>4</v>
      </c>
      <c r="BN39" s="1410" t="str">
        <f>Paramètres!O59</f>
        <v>4-7</v>
      </c>
      <c r="BO39" s="1410">
        <f>Paramètres!P59</f>
        <v>7</v>
      </c>
      <c r="BP39" s="1409">
        <f>Paramètres!Q59</f>
        <v>4</v>
      </c>
      <c r="BQ39" s="1410" t="str">
        <f>Paramètres!R59</f>
        <v>4-7</v>
      </c>
      <c r="BR39" s="1411">
        <f>Paramètres!S59</f>
        <v>7</v>
      </c>
    </row>
    <row r="40" spans="1:70" x14ac:dyDescent="0.2">
      <c r="A40" s="2163"/>
      <c r="B40" s="3044" t="s">
        <v>413</v>
      </c>
      <c r="C40" s="3045"/>
      <c r="D40" s="3045"/>
      <c r="E40" s="3046"/>
      <c r="F40" s="2209"/>
      <c r="G40" s="2210"/>
      <c r="H40" s="2211"/>
      <c r="I40" s="2212"/>
      <c r="J40" s="2210"/>
      <c r="K40" s="2211"/>
      <c r="L40" s="2212"/>
      <c r="M40" s="2210"/>
      <c r="N40" s="2213"/>
      <c r="O40" s="2171"/>
      <c r="P40" s="2171"/>
      <c r="Q40" s="2171"/>
      <c r="R40" s="2171"/>
      <c r="S40" s="2171"/>
      <c r="T40" s="2171"/>
      <c r="U40" s="2171"/>
      <c r="V40" s="2171"/>
      <c r="W40" s="2171"/>
      <c r="X40" s="2171"/>
      <c r="Y40" s="2171"/>
      <c r="Z40" s="2171"/>
      <c r="AA40"/>
      <c r="AB40"/>
      <c r="AC40"/>
      <c r="AD40"/>
      <c r="AE40" s="1421" t="str">
        <f>B40</f>
        <v>Troupeau laitier</v>
      </c>
      <c r="AF40"/>
      <c r="AG40"/>
      <c r="AH40"/>
      <c r="AI40"/>
      <c r="AJ40"/>
      <c r="AK40"/>
      <c r="AL40"/>
      <c r="AM40"/>
      <c r="AN40"/>
      <c r="AP40" s="1395"/>
      <c r="AQ40" s="1396"/>
      <c r="AR40" s="1396"/>
      <c r="AS40" s="1395"/>
      <c r="AT40" s="1396"/>
      <c r="AU40" s="30"/>
      <c r="AV40" s="1396"/>
      <c r="AW40" s="1396"/>
      <c r="AX40" s="30"/>
      <c r="AY40" s="1394"/>
      <c r="AZ40" s="1395"/>
      <c r="BA40" s="1396"/>
      <c r="BB40" s="1396"/>
      <c r="BC40" s="1395"/>
      <c r="BD40" s="1396"/>
      <c r="BE40" s="30"/>
      <c r="BF40" s="1396"/>
      <c r="BG40" s="1396"/>
      <c r="BH40" s="30"/>
      <c r="BJ40" s="1395"/>
      <c r="BK40" s="1396"/>
      <c r="BL40" s="1396"/>
      <c r="BM40" s="1395"/>
      <c r="BN40" s="1396"/>
      <c r="BO40" s="30"/>
      <c r="BP40" s="1396"/>
      <c r="BQ40" s="1396"/>
      <c r="BR40" s="30"/>
    </row>
    <row r="41" spans="1:70" x14ac:dyDescent="0.2">
      <c r="A41" s="2163"/>
      <c r="B41" s="2246"/>
      <c r="C41" s="2247" t="s">
        <v>179</v>
      </c>
      <c r="D41" s="2247"/>
      <c r="E41" s="2248"/>
      <c r="F41" s="2182"/>
      <c r="G41" s="2183"/>
      <c r="H41" s="2184">
        <f ca="1">$AG41*AH41</f>
        <v>5151</v>
      </c>
      <c r="I41" s="2185"/>
      <c r="J41" s="2183"/>
      <c r="K41" s="2184">
        <f ca="1">$AG41*AI41</f>
        <v>2142</v>
      </c>
      <c r="L41" s="2185"/>
      <c r="M41" s="2183"/>
      <c r="N41" s="2186">
        <f ca="1">$AG41*AJ41</f>
        <v>6630</v>
      </c>
      <c r="O41" s="2171"/>
      <c r="P41" s="2171"/>
      <c r="Q41" s="2171"/>
      <c r="R41" s="2171"/>
      <c r="S41" s="2171"/>
      <c r="T41" s="2171"/>
      <c r="U41" s="2171"/>
      <c r="V41" s="2171"/>
      <c r="W41" s="2171"/>
      <c r="X41" s="2171"/>
      <c r="Y41" s="2171"/>
      <c r="Z41" s="2171"/>
      <c r="AA41"/>
      <c r="AB41"/>
      <c r="AC41"/>
      <c r="AD41"/>
      <c r="AE41" s="1421"/>
      <c r="AF41" s="1421" t="str">
        <f>C41</f>
        <v>● vaches en production</v>
      </c>
      <c r="AG41" s="17">
        <f>VL_NbVaches</f>
        <v>51</v>
      </c>
      <c r="AH41" s="1337">
        <f ca="1">INDIRECT(ADDRESS(ROW(),AP$36+AL$39+AM$39))</f>
        <v>101</v>
      </c>
      <c r="AI41" s="1337">
        <f ca="1">INDIRECT(ADDRESS(ROW(),AZ$36+AL$39+AM$39))</f>
        <v>42</v>
      </c>
      <c r="AJ41" s="1337">
        <f ca="1">INDIRECT(ADDRESS(ROW(),BJ$36+AL$39+AM$39))</f>
        <v>130</v>
      </c>
      <c r="AK41"/>
      <c r="AL41"/>
      <c r="AM41"/>
      <c r="AN41"/>
      <c r="AP41" s="1397">
        <f>Paramètres!K7</f>
        <v>75</v>
      </c>
      <c r="AQ41" s="1398">
        <f>Paramètres!L7</f>
        <v>92</v>
      </c>
      <c r="AR41" s="1398">
        <f>Paramètres!M7</f>
        <v>104</v>
      </c>
      <c r="AS41" s="1397">
        <f>Paramètres!N7</f>
        <v>83</v>
      </c>
      <c r="AT41" s="1398">
        <f>Paramètres!O7</f>
        <v>101</v>
      </c>
      <c r="AU41" s="1399">
        <f>Paramètres!P7</f>
        <v>115</v>
      </c>
      <c r="AV41" s="1398">
        <f>Paramètres!Q7</f>
        <v>91</v>
      </c>
      <c r="AW41" s="1398">
        <f>Paramètres!R7</f>
        <v>111</v>
      </c>
      <c r="AX41" s="1399">
        <f>Paramètres!S7</f>
        <v>126</v>
      </c>
      <c r="AY41" s="1394"/>
      <c r="AZ41" s="1397">
        <f>Paramètres!K34</f>
        <v>35</v>
      </c>
      <c r="BA41" s="1398">
        <f>Paramètres!L34</f>
        <v>37</v>
      </c>
      <c r="BB41" s="1398">
        <f>Paramètres!M34</f>
        <v>39</v>
      </c>
      <c r="BC41" s="1397">
        <f>Paramètres!N34</f>
        <v>40</v>
      </c>
      <c r="BD41" s="1398">
        <f>Paramètres!O34</f>
        <v>42</v>
      </c>
      <c r="BE41" s="1399">
        <f>Paramètres!P34</f>
        <v>43</v>
      </c>
      <c r="BF41" s="1398">
        <f>Paramètres!Q34</f>
        <v>42</v>
      </c>
      <c r="BG41" s="1398">
        <f>Paramètres!R34</f>
        <v>46</v>
      </c>
      <c r="BH41" s="1399">
        <f>Paramètres!S34</f>
        <v>47</v>
      </c>
      <c r="BJ41" s="1397">
        <f>Paramètres!K61</f>
        <v>112</v>
      </c>
      <c r="BK41" s="1398">
        <f>Paramètres!L61</f>
        <v>125</v>
      </c>
      <c r="BL41" s="1398">
        <f>Paramètres!M61</f>
        <v>130</v>
      </c>
      <c r="BM41" s="1397">
        <f>Paramètres!N61</f>
        <v>120</v>
      </c>
      <c r="BN41" s="1398">
        <f>Paramètres!O61</f>
        <v>130</v>
      </c>
      <c r="BO41" s="1399">
        <f>Paramètres!P61</f>
        <v>135</v>
      </c>
      <c r="BP41" s="1398">
        <f>Paramètres!Q61</f>
        <v>124</v>
      </c>
      <c r="BQ41" s="1398">
        <f>Paramètres!R61</f>
        <v>135</v>
      </c>
      <c r="BR41" s="1399">
        <f>Paramètres!S61</f>
        <v>140</v>
      </c>
    </row>
    <row r="42" spans="1:70" x14ac:dyDescent="0.2">
      <c r="A42" s="2163"/>
      <c r="B42" s="2246"/>
      <c r="C42" s="2247" t="s">
        <v>414</v>
      </c>
      <c r="D42" s="2247"/>
      <c r="E42" s="2248"/>
      <c r="F42" s="2182"/>
      <c r="G42" s="2183"/>
      <c r="H42" s="2184">
        <f>$AG42*AH42</f>
        <v>400</v>
      </c>
      <c r="I42" s="2185"/>
      <c r="J42" s="2183"/>
      <c r="K42" s="2184">
        <f>$AG42*AI42</f>
        <v>112</v>
      </c>
      <c r="L42" s="2185"/>
      <c r="M42" s="2183"/>
      <c r="N42" s="2186">
        <f>$AG42*AJ42</f>
        <v>544</v>
      </c>
      <c r="O42" s="2171"/>
      <c r="P42" s="2171"/>
      <c r="Q42" s="2171"/>
      <c r="R42" s="2171"/>
      <c r="S42" s="2171"/>
      <c r="T42" s="2171"/>
      <c r="U42" s="2171"/>
      <c r="V42" s="2171"/>
      <c r="W42" s="2171"/>
      <c r="X42" s="2171"/>
      <c r="Y42" s="2171"/>
      <c r="Z42" s="2171"/>
      <c r="AA42"/>
      <c r="AB42"/>
      <c r="AC42"/>
      <c r="AD42"/>
      <c r="AE42" s="1421"/>
      <c r="AF42" s="1421" t="str">
        <f>C42</f>
        <v>● génisses (0-12 mois; année 1)</v>
      </c>
      <c r="AG42" s="17">
        <f>VL_NbGenAn1</f>
        <v>16</v>
      </c>
      <c r="AH42" s="1420">
        <f>Paramètres!K8</f>
        <v>25</v>
      </c>
      <c r="AI42" s="1420">
        <f>Paramètres!K35</f>
        <v>7</v>
      </c>
      <c r="AJ42" s="1420">
        <f>Paramètres!K62</f>
        <v>34</v>
      </c>
      <c r="AK42"/>
      <c r="AL42"/>
      <c r="AM42"/>
      <c r="AN42"/>
      <c r="AP42" s="1397">
        <f>Paramètres!K8</f>
        <v>25</v>
      </c>
      <c r="AQ42" s="1398">
        <f>Paramètres!L8</f>
        <v>0</v>
      </c>
      <c r="AR42" s="1398">
        <f>Paramètres!M8</f>
        <v>0</v>
      </c>
      <c r="AS42" s="1397">
        <f>Paramètres!N8</f>
        <v>0</v>
      </c>
      <c r="AT42" s="1398">
        <f>Paramètres!O8</f>
        <v>0</v>
      </c>
      <c r="AU42" s="1399">
        <f>Paramètres!P8</f>
        <v>0</v>
      </c>
      <c r="AV42" s="1398">
        <f>Paramètres!Q8</f>
        <v>0</v>
      </c>
      <c r="AW42" s="1398">
        <f>Paramètres!R8</f>
        <v>0</v>
      </c>
      <c r="AX42" s="1399">
        <f>Paramètres!S8</f>
        <v>0</v>
      </c>
      <c r="AY42" s="1394"/>
      <c r="AZ42" s="1397">
        <f>Paramètres!K35</f>
        <v>7</v>
      </c>
      <c r="BA42" s="1398">
        <f>Paramètres!L35</f>
        <v>0</v>
      </c>
      <c r="BB42" s="1398">
        <f>Paramètres!M35</f>
        <v>0</v>
      </c>
      <c r="BC42" s="1397">
        <f>Paramètres!N35</f>
        <v>0</v>
      </c>
      <c r="BD42" s="1398">
        <f>Paramètres!O35</f>
        <v>0</v>
      </c>
      <c r="BE42" s="1399">
        <f>Paramètres!P35</f>
        <v>0</v>
      </c>
      <c r="BF42" s="1398">
        <f>Paramètres!Q35</f>
        <v>0</v>
      </c>
      <c r="BG42" s="1398">
        <f>Paramètres!R35</f>
        <v>0</v>
      </c>
      <c r="BH42" s="1399">
        <f>Paramètres!S35</f>
        <v>0</v>
      </c>
      <c r="BJ42" s="1397">
        <f>Paramètres!K62</f>
        <v>34</v>
      </c>
      <c r="BK42" s="1398">
        <f>Paramètres!L62</f>
        <v>0</v>
      </c>
      <c r="BL42" s="1398">
        <f>Paramètres!M62</f>
        <v>0</v>
      </c>
      <c r="BM42" s="1397">
        <f>Paramètres!N62</f>
        <v>0</v>
      </c>
      <c r="BN42" s="1398">
        <f>Paramètres!O62</f>
        <v>0</v>
      </c>
      <c r="BO42" s="1399">
        <f>Paramètres!P62</f>
        <v>0</v>
      </c>
      <c r="BP42" s="1398">
        <f>Paramètres!Q62</f>
        <v>0</v>
      </c>
      <c r="BQ42" s="1398">
        <f>Paramètres!R62</f>
        <v>0</v>
      </c>
      <c r="BR42" s="1399">
        <f>Paramètres!S62</f>
        <v>0</v>
      </c>
    </row>
    <row r="43" spans="1:70" x14ac:dyDescent="0.2">
      <c r="A43" s="2163"/>
      <c r="B43" s="2246"/>
      <c r="C43" s="2247" t="s">
        <v>180</v>
      </c>
      <c r="D43" s="2247"/>
      <c r="E43" s="2248"/>
      <c r="F43" s="2182"/>
      <c r="G43" s="2183"/>
      <c r="H43" s="2184">
        <f>$AG43*AH43</f>
        <v>672</v>
      </c>
      <c r="I43" s="2185"/>
      <c r="J43" s="2183"/>
      <c r="K43" s="2184">
        <f>$AG43*AI43</f>
        <v>288</v>
      </c>
      <c r="L43" s="2185"/>
      <c r="M43" s="2183"/>
      <c r="N43" s="2186">
        <f>$AG43*AJ43</f>
        <v>1040</v>
      </c>
      <c r="O43" s="2171"/>
      <c r="P43" s="2171"/>
      <c r="Q43" s="2171"/>
      <c r="R43" s="2171"/>
      <c r="S43" s="2171"/>
      <c r="T43" s="2171"/>
      <c r="U43" s="2171"/>
      <c r="V43" s="2171"/>
      <c r="W43" s="2171"/>
      <c r="X43" s="2171"/>
      <c r="Y43" s="2171"/>
      <c r="Z43" s="2171"/>
      <c r="AA43"/>
      <c r="AB43"/>
      <c r="AC43"/>
      <c r="AD43"/>
      <c r="AE43" s="1421"/>
      <c r="AF43" s="1421" t="str">
        <f>C43</f>
        <v>● génisses (13-24 mois; année 2)</v>
      </c>
      <c r="AG43" s="17">
        <f>VL_NbGenAn2</f>
        <v>16</v>
      </c>
      <c r="AH43" s="1420">
        <f>Paramètres!K9</f>
        <v>42</v>
      </c>
      <c r="AI43" s="1420">
        <f>Paramètres!K36</f>
        <v>18</v>
      </c>
      <c r="AJ43" s="1420">
        <f>Paramètres!K63</f>
        <v>65</v>
      </c>
      <c r="AK43"/>
      <c r="AL43"/>
      <c r="AM43"/>
      <c r="AN43"/>
      <c r="AP43" s="1397">
        <f>Paramètres!K9</f>
        <v>42</v>
      </c>
      <c r="AQ43" s="1398">
        <f>Paramètres!L9</f>
        <v>0</v>
      </c>
      <c r="AR43" s="1398">
        <f>Paramètres!M9</f>
        <v>0</v>
      </c>
      <c r="AS43" s="1397">
        <f>Paramètres!N9</f>
        <v>0</v>
      </c>
      <c r="AT43" s="1398">
        <f>Paramètres!O9</f>
        <v>0</v>
      </c>
      <c r="AU43" s="1399">
        <f>Paramètres!P9</f>
        <v>0</v>
      </c>
      <c r="AV43" s="1398">
        <f>Paramètres!Q9</f>
        <v>0</v>
      </c>
      <c r="AW43" s="1398">
        <f>Paramètres!R9</f>
        <v>0</v>
      </c>
      <c r="AX43" s="1399">
        <f>Paramètres!S9</f>
        <v>0</v>
      </c>
      <c r="AY43" s="1394"/>
      <c r="AZ43" s="1397">
        <f>Paramètres!K36</f>
        <v>18</v>
      </c>
      <c r="BA43" s="1398">
        <f>Paramètres!L36</f>
        <v>0</v>
      </c>
      <c r="BB43" s="1398">
        <f>Paramètres!M36</f>
        <v>0</v>
      </c>
      <c r="BC43" s="1397">
        <f>Paramètres!N36</f>
        <v>0</v>
      </c>
      <c r="BD43" s="1398">
        <f>Paramètres!O36</f>
        <v>0</v>
      </c>
      <c r="BE43" s="1399">
        <f>Paramètres!P36</f>
        <v>0</v>
      </c>
      <c r="BF43" s="1398">
        <f>Paramètres!Q36</f>
        <v>0</v>
      </c>
      <c r="BG43" s="1398">
        <f>Paramètres!R36</f>
        <v>0</v>
      </c>
      <c r="BH43" s="1399">
        <f>Paramètres!S36</f>
        <v>0</v>
      </c>
      <c r="BJ43" s="1397">
        <f>Paramètres!K63</f>
        <v>65</v>
      </c>
      <c r="BK43" s="1398">
        <f>Paramètres!L63</f>
        <v>0</v>
      </c>
      <c r="BL43" s="1398">
        <f>Paramètres!M63</f>
        <v>0</v>
      </c>
      <c r="BM43" s="1397">
        <f>Paramètres!N63</f>
        <v>0</v>
      </c>
      <c r="BN43" s="1398">
        <f>Paramètres!O63</f>
        <v>0</v>
      </c>
      <c r="BO43" s="1399">
        <f>Paramètres!P63</f>
        <v>0</v>
      </c>
      <c r="BP43" s="1398">
        <f>Paramètres!Q63</f>
        <v>0</v>
      </c>
      <c r="BQ43" s="1398">
        <f>Paramètres!R63</f>
        <v>0</v>
      </c>
      <c r="BR43" s="1399">
        <f>Paramètres!S63</f>
        <v>0</v>
      </c>
    </row>
    <row r="44" spans="1:70" x14ac:dyDescent="0.2">
      <c r="A44" s="2163"/>
      <c r="B44" s="2246"/>
      <c r="C44" s="2247" t="s">
        <v>415</v>
      </c>
      <c r="D44" s="2247"/>
      <c r="E44" s="2248"/>
      <c r="F44" s="2182"/>
      <c r="G44" s="2183"/>
      <c r="H44" s="2184">
        <f>IF(VL_TypeVela=2,$AG44*AH44,IF(VL_TypeVela=1,$AG44*AH44/2,""))</f>
        <v>397.5</v>
      </c>
      <c r="I44" s="2185"/>
      <c r="J44" s="2183"/>
      <c r="K44" s="2184">
        <f>IF(VL_TypeVela=2,$AG44*AI44,IF(VL_TypeVela=1,$AG44*AI44/2,""))</f>
        <v>187.5</v>
      </c>
      <c r="L44" s="2185"/>
      <c r="M44" s="2183"/>
      <c r="N44" s="2186">
        <f>IF(VL_TypeVela=2,$AG44*AJ44,IF(VL_TypeVela=1,$AG44*AJ44/2,""))</f>
        <v>630</v>
      </c>
      <c r="O44" s="2171"/>
      <c r="P44" s="2171"/>
      <c r="Q44" s="2171"/>
      <c r="R44" s="2171"/>
      <c r="S44" s="2171"/>
      <c r="T44" s="2171"/>
      <c r="U44" s="2171"/>
      <c r="V44" s="2171"/>
      <c r="W44" s="2171"/>
      <c r="X44" s="2171"/>
      <c r="Y44" s="2171"/>
      <c r="Z44" s="2171"/>
      <c r="AA44"/>
      <c r="AB44"/>
      <c r="AC44"/>
      <c r="AD44"/>
      <c r="AE44" s="1421"/>
      <c r="AF44" s="1421" t="str">
        <f>C44</f>
        <v>● génisses (25-36 mois; année 3)</v>
      </c>
      <c r="AG44" s="17">
        <f>VL_NbGenAn3</f>
        <v>15</v>
      </c>
      <c r="AH44" s="1420">
        <f>Paramètres!K10</f>
        <v>53</v>
      </c>
      <c r="AI44" s="1420">
        <f>Paramètres!K37</f>
        <v>25</v>
      </c>
      <c r="AJ44" s="1420">
        <f>Paramètres!K64</f>
        <v>84</v>
      </c>
      <c r="AK44"/>
      <c r="AL44"/>
      <c r="AM44"/>
      <c r="AN44"/>
      <c r="AP44" s="1397">
        <f>Paramètres!K10</f>
        <v>53</v>
      </c>
      <c r="AQ44" s="1398">
        <f>Paramètres!L10</f>
        <v>0</v>
      </c>
      <c r="AR44" s="1398">
        <f>Paramètres!M10</f>
        <v>0</v>
      </c>
      <c r="AS44" s="1397">
        <f>Paramètres!N10</f>
        <v>0</v>
      </c>
      <c r="AT44" s="1398">
        <f>Paramètres!O10</f>
        <v>0</v>
      </c>
      <c r="AU44" s="1399">
        <f>Paramètres!P10</f>
        <v>0</v>
      </c>
      <c r="AV44" s="1398">
        <f>Paramètres!Q10</f>
        <v>0</v>
      </c>
      <c r="AW44" s="1398">
        <f>Paramètres!R10</f>
        <v>0</v>
      </c>
      <c r="AX44" s="1399">
        <f>Paramètres!S10</f>
        <v>0</v>
      </c>
      <c r="AY44" s="1394"/>
      <c r="AZ44" s="1397">
        <f>Paramètres!K37</f>
        <v>25</v>
      </c>
      <c r="BA44" s="1398">
        <f>Paramètres!L37</f>
        <v>0</v>
      </c>
      <c r="BB44" s="1398">
        <f>Paramètres!M37</f>
        <v>0</v>
      </c>
      <c r="BC44" s="1397">
        <f>Paramètres!N37</f>
        <v>0</v>
      </c>
      <c r="BD44" s="1398">
        <f>Paramètres!O37</f>
        <v>0</v>
      </c>
      <c r="BE44" s="1399">
        <f>Paramètres!P37</f>
        <v>0</v>
      </c>
      <c r="BF44" s="1398">
        <f>Paramètres!Q37</f>
        <v>0</v>
      </c>
      <c r="BG44" s="1398">
        <f>Paramètres!R37</f>
        <v>0</v>
      </c>
      <c r="BH44" s="1399">
        <f>Paramètres!S37</f>
        <v>0</v>
      </c>
      <c r="BJ44" s="1397">
        <f>Paramètres!K64</f>
        <v>84</v>
      </c>
      <c r="BK44" s="1398">
        <f>Paramètres!L64</f>
        <v>0</v>
      </c>
      <c r="BL44" s="1398">
        <f>Paramètres!M64</f>
        <v>0</v>
      </c>
      <c r="BM44" s="1397">
        <f>Paramètres!N64</f>
        <v>0</v>
      </c>
      <c r="BN44" s="1398">
        <f>Paramètres!O64</f>
        <v>0</v>
      </c>
      <c r="BO44" s="1399">
        <f>Paramètres!P64</f>
        <v>0</v>
      </c>
      <c r="BP44" s="1398">
        <f>Paramètres!Q64</f>
        <v>0</v>
      </c>
      <c r="BQ44" s="1398">
        <f>Paramètres!R64</f>
        <v>0</v>
      </c>
      <c r="BR44" s="1399">
        <f>Paramètres!S64</f>
        <v>0</v>
      </c>
    </row>
    <row r="45" spans="1:70" x14ac:dyDescent="0.2">
      <c r="A45" s="2163"/>
      <c r="B45" s="3044" t="s">
        <v>416</v>
      </c>
      <c r="C45" s="3045"/>
      <c r="D45" s="3045"/>
      <c r="E45" s="3046"/>
      <c r="F45" s="2182"/>
      <c r="G45" s="2183"/>
      <c r="H45" s="2184"/>
      <c r="I45" s="2185"/>
      <c r="J45" s="2183"/>
      <c r="K45" s="2184"/>
      <c r="L45" s="2185"/>
      <c r="M45" s="2183"/>
      <c r="N45" s="2186"/>
      <c r="O45" s="2171"/>
      <c r="P45" s="2171"/>
      <c r="Q45" s="2171"/>
      <c r="R45" s="2171"/>
      <c r="S45" s="2171"/>
      <c r="T45" s="2171"/>
      <c r="U45" s="2171"/>
      <c r="V45" s="2171"/>
      <c r="W45" s="2171"/>
      <c r="X45" s="2171"/>
      <c r="Y45" s="2171"/>
      <c r="Z45" s="2171"/>
      <c r="AA45"/>
      <c r="AB45"/>
      <c r="AC45"/>
      <c r="AD45"/>
      <c r="AE45" s="1421" t="str">
        <f>B45</f>
        <v>Troupeau allaitant</v>
      </c>
      <c r="AF45" s="1421"/>
      <c r="AG45"/>
      <c r="AH45"/>
      <c r="AI45"/>
      <c r="AJ45"/>
      <c r="AK45"/>
      <c r="AL45"/>
      <c r="AM45"/>
      <c r="AN45"/>
      <c r="AP45" s="27"/>
      <c r="AQ45" s="28"/>
      <c r="AR45" s="28"/>
      <c r="AS45" s="27"/>
      <c r="AT45" s="28"/>
      <c r="AU45" s="29"/>
      <c r="AV45" s="28"/>
      <c r="AW45" s="28"/>
      <c r="AX45" s="29"/>
      <c r="AY45" s="1394"/>
      <c r="AZ45" s="27"/>
      <c r="BA45" s="28"/>
      <c r="BB45" s="28"/>
      <c r="BC45" s="27"/>
      <c r="BD45" s="28"/>
      <c r="BE45" s="29"/>
      <c r="BF45" s="28"/>
      <c r="BG45" s="28"/>
      <c r="BH45" s="29"/>
      <c r="BJ45" s="27"/>
      <c r="BK45" s="28"/>
      <c r="BL45" s="28"/>
      <c r="BM45" s="27"/>
      <c r="BN45" s="28"/>
      <c r="BO45" s="29"/>
      <c r="BP45" s="28"/>
      <c r="BQ45" s="28"/>
      <c r="BR45" s="29"/>
    </row>
    <row r="46" spans="1:70" x14ac:dyDescent="0.2">
      <c r="A46" s="2163"/>
      <c r="B46" s="2246"/>
      <c r="C46" s="2247" t="s">
        <v>293</v>
      </c>
      <c r="D46" s="2247"/>
      <c r="E46" s="2248"/>
      <c r="F46" s="2182"/>
      <c r="G46" s="2183"/>
      <c r="H46" s="2184">
        <f>$AG46*AH46</f>
        <v>1496</v>
      </c>
      <c r="I46" s="2185"/>
      <c r="J46" s="2183"/>
      <c r="K46" s="2184">
        <f>$AG46*AI46</f>
        <v>858</v>
      </c>
      <c r="L46" s="2185"/>
      <c r="M46" s="2183"/>
      <c r="N46" s="2186">
        <f>$AG46*AJ46</f>
        <v>2486</v>
      </c>
      <c r="O46" s="2171"/>
      <c r="P46" s="2171"/>
      <c r="Q46" s="2171"/>
      <c r="R46" s="2171"/>
      <c r="S46" s="2171"/>
      <c r="T46" s="2171"/>
      <c r="U46" s="2171"/>
      <c r="V46" s="2171"/>
      <c r="W46" s="2171"/>
      <c r="X46" s="2171"/>
      <c r="Y46" s="2171"/>
      <c r="Z46" s="2171"/>
      <c r="AA46"/>
      <c r="AB46"/>
      <c r="AC46"/>
      <c r="AD46"/>
      <c r="AE46" s="1421"/>
      <c r="AF46" s="1421" t="str">
        <f>C46</f>
        <v>● vaches allaitantes</v>
      </c>
      <c r="AG46" s="17">
        <f>TA_NbVaches</f>
        <v>22</v>
      </c>
      <c r="AH46" s="1420">
        <f>Paramètres!K12</f>
        <v>68</v>
      </c>
      <c r="AI46" s="1420">
        <f>Paramètres!K39</f>
        <v>39</v>
      </c>
      <c r="AJ46" s="1420">
        <f>Paramètres!K66</f>
        <v>113</v>
      </c>
      <c r="AK46"/>
      <c r="AL46"/>
      <c r="AM46"/>
      <c r="AN46"/>
      <c r="AP46" s="1397">
        <f>Paramètres!K12</f>
        <v>68</v>
      </c>
      <c r="AQ46" s="1398">
        <f>Paramètres!L12</f>
        <v>0</v>
      </c>
      <c r="AR46" s="1398">
        <f>Paramètres!M12</f>
        <v>0</v>
      </c>
      <c r="AS46" s="1397">
        <f>Paramètres!N12</f>
        <v>0</v>
      </c>
      <c r="AT46" s="1398">
        <f>Paramètres!O12</f>
        <v>0</v>
      </c>
      <c r="AU46" s="1399">
        <f>Paramètres!P12</f>
        <v>0</v>
      </c>
      <c r="AV46" s="1398">
        <f>Paramètres!Q12</f>
        <v>0</v>
      </c>
      <c r="AW46" s="1398">
        <f>Paramètres!R12</f>
        <v>0</v>
      </c>
      <c r="AX46" s="1399">
        <f>Paramètres!S12</f>
        <v>0</v>
      </c>
      <c r="AY46" s="1394"/>
      <c r="AZ46" s="1397">
        <f>Paramètres!K39</f>
        <v>39</v>
      </c>
      <c r="BA46" s="1398">
        <f>Paramètres!L39</f>
        <v>0</v>
      </c>
      <c r="BB46" s="1398">
        <f>Paramètres!M39</f>
        <v>0</v>
      </c>
      <c r="BC46" s="1397">
        <f>Paramètres!N39</f>
        <v>0</v>
      </c>
      <c r="BD46" s="1398">
        <f>Paramètres!O39</f>
        <v>0</v>
      </c>
      <c r="BE46" s="1399">
        <f>Paramètres!P39</f>
        <v>0</v>
      </c>
      <c r="BF46" s="1398">
        <f>Paramètres!Q39</f>
        <v>0</v>
      </c>
      <c r="BG46" s="1398">
        <f>Paramètres!R39</f>
        <v>0</v>
      </c>
      <c r="BH46" s="1399">
        <f>Paramètres!S39</f>
        <v>0</v>
      </c>
      <c r="BJ46" s="1397">
        <f>Paramètres!K66</f>
        <v>113</v>
      </c>
      <c r="BK46" s="1398">
        <f>Paramètres!L66</f>
        <v>0</v>
      </c>
      <c r="BL46" s="1398">
        <f>Paramètres!M66</f>
        <v>0</v>
      </c>
      <c r="BM46" s="1397">
        <f>Paramètres!N66</f>
        <v>0</v>
      </c>
      <c r="BN46" s="1398">
        <f>Paramètres!O66</f>
        <v>0</v>
      </c>
      <c r="BO46" s="1399">
        <f>Paramètres!P66</f>
        <v>0</v>
      </c>
      <c r="BP46" s="1398">
        <f>Paramètres!Q66</f>
        <v>0</v>
      </c>
      <c r="BQ46" s="1398">
        <f>Paramètres!R66</f>
        <v>0</v>
      </c>
      <c r="BR46" s="1399">
        <f>Paramètres!S66</f>
        <v>0</v>
      </c>
    </row>
    <row r="47" spans="1:70" x14ac:dyDescent="0.2">
      <c r="A47" s="2163"/>
      <c r="B47" s="2246"/>
      <c r="C47" s="2247" t="s">
        <v>417</v>
      </c>
      <c r="D47" s="2247"/>
      <c r="E47" s="2248"/>
      <c r="F47" s="2182"/>
      <c r="G47" s="2183"/>
      <c r="H47" s="2184">
        <f>$AG47*AH47</f>
        <v>250</v>
      </c>
      <c r="I47" s="2185"/>
      <c r="J47" s="2183"/>
      <c r="K47" s="2184">
        <f>$AG47*AI47</f>
        <v>70</v>
      </c>
      <c r="L47" s="2185"/>
      <c r="M47" s="2183"/>
      <c r="N47" s="2186">
        <f>$AG47*AJ47</f>
        <v>340</v>
      </c>
      <c r="O47" s="2171"/>
      <c r="P47" s="2171"/>
      <c r="Q47" s="2171"/>
      <c r="R47" s="2171"/>
      <c r="S47" s="2171"/>
      <c r="T47" s="2171"/>
      <c r="U47" s="2171"/>
      <c r="V47" s="2171"/>
      <c r="W47" s="2171"/>
      <c r="X47" s="2171"/>
      <c r="Y47" s="2171"/>
      <c r="Z47" s="2171"/>
      <c r="AA47"/>
      <c r="AB47"/>
      <c r="AC47"/>
      <c r="AD47"/>
      <c r="AE47" s="1421"/>
      <c r="AF47" s="1421" t="str">
        <f>C47</f>
        <v>● toutes génisses d'élevage (année 1)</v>
      </c>
      <c r="AG47" s="17">
        <f>TA_NbGenAn1</f>
        <v>10</v>
      </c>
      <c r="AH47" s="1420">
        <f>Paramètres!K13</f>
        <v>25</v>
      </c>
      <c r="AI47" s="1420">
        <f>Paramètres!K40</f>
        <v>7</v>
      </c>
      <c r="AJ47" s="1420">
        <f>Paramètres!K67</f>
        <v>34</v>
      </c>
      <c r="AK47"/>
      <c r="AL47"/>
      <c r="AM47"/>
      <c r="AN47"/>
      <c r="AP47" s="1397">
        <f>Paramètres!K13</f>
        <v>25</v>
      </c>
      <c r="AQ47" s="1398">
        <f>Paramètres!L13</f>
        <v>0</v>
      </c>
      <c r="AR47" s="1398">
        <f>Paramètres!M13</f>
        <v>0</v>
      </c>
      <c r="AS47" s="1397">
        <f>Paramètres!N13</f>
        <v>0</v>
      </c>
      <c r="AT47" s="1398">
        <f>Paramètres!O13</f>
        <v>0</v>
      </c>
      <c r="AU47" s="1399">
        <f>Paramètres!P13</f>
        <v>0</v>
      </c>
      <c r="AV47" s="1398">
        <f>Paramètres!Q13</f>
        <v>0</v>
      </c>
      <c r="AW47" s="1398">
        <f>Paramètres!R13</f>
        <v>0</v>
      </c>
      <c r="AX47" s="1399">
        <f>Paramètres!S13</f>
        <v>0</v>
      </c>
      <c r="AY47" s="1394"/>
      <c r="AZ47" s="1397">
        <f>Paramètres!K40</f>
        <v>7</v>
      </c>
      <c r="BA47" s="1398">
        <f>Paramètres!L40</f>
        <v>0</v>
      </c>
      <c r="BB47" s="1398">
        <f>Paramètres!M40</f>
        <v>0</v>
      </c>
      <c r="BC47" s="1397">
        <f>Paramètres!N40</f>
        <v>0</v>
      </c>
      <c r="BD47" s="1398">
        <f>Paramètres!O40</f>
        <v>0</v>
      </c>
      <c r="BE47" s="1399">
        <f>Paramètres!P40</f>
        <v>0</v>
      </c>
      <c r="BF47" s="1398">
        <f>Paramètres!Q40</f>
        <v>0</v>
      </c>
      <c r="BG47" s="1398">
        <f>Paramètres!R40</f>
        <v>0</v>
      </c>
      <c r="BH47" s="1399">
        <f>Paramètres!S40</f>
        <v>0</v>
      </c>
      <c r="BJ47" s="1397">
        <f>Paramètres!K67</f>
        <v>34</v>
      </c>
      <c r="BK47" s="1398">
        <f>Paramètres!L67</f>
        <v>0</v>
      </c>
      <c r="BL47" s="1398">
        <f>Paramètres!M67</f>
        <v>0</v>
      </c>
      <c r="BM47" s="1397">
        <f>Paramètres!N67</f>
        <v>0</v>
      </c>
      <c r="BN47" s="1398">
        <f>Paramètres!O67</f>
        <v>0</v>
      </c>
      <c r="BO47" s="1399">
        <f>Paramètres!P67</f>
        <v>0</v>
      </c>
      <c r="BP47" s="1398">
        <f>Paramètres!Q67</f>
        <v>0</v>
      </c>
      <c r="BQ47" s="1398">
        <f>Paramètres!R67</f>
        <v>0</v>
      </c>
      <c r="BR47" s="1399">
        <f>Paramètres!S67</f>
        <v>0</v>
      </c>
    </row>
    <row r="48" spans="1:70" x14ac:dyDescent="0.2">
      <c r="A48" s="2163"/>
      <c r="B48" s="2246"/>
      <c r="C48" s="2247" t="s">
        <v>418</v>
      </c>
      <c r="D48" s="2247"/>
      <c r="E48" s="2248"/>
      <c r="F48" s="2182"/>
      <c r="G48" s="2183"/>
      <c r="H48" s="2184">
        <f>$AG48*AH48</f>
        <v>255</v>
      </c>
      <c r="I48" s="2185"/>
      <c r="J48" s="2183"/>
      <c r="K48" s="2184">
        <f>$AG48*AI48</f>
        <v>108</v>
      </c>
      <c r="L48" s="2185"/>
      <c r="M48" s="2183"/>
      <c r="N48" s="2186">
        <f>$AG48*AJ48</f>
        <v>390</v>
      </c>
      <c r="O48" s="2171"/>
      <c r="P48" s="2171"/>
      <c r="Q48" s="2171"/>
      <c r="R48" s="2171"/>
      <c r="S48" s="2171"/>
      <c r="T48" s="2171"/>
      <c r="U48" s="2171"/>
      <c r="V48" s="2171"/>
      <c r="W48" s="2171"/>
      <c r="X48" s="2171"/>
      <c r="Y48" s="2171"/>
      <c r="Z48" s="2171"/>
      <c r="AA48"/>
      <c r="AB48"/>
      <c r="AC48"/>
      <c r="AD48"/>
      <c r="AE48" s="1421"/>
      <c r="AF48" s="1421" t="str">
        <f>C48</f>
        <v>● génisses de renouvellement (année 2)</v>
      </c>
      <c r="AG48" s="17">
        <f>TA_NbGenAn2</f>
        <v>6</v>
      </c>
      <c r="AH48" s="1420">
        <f>Paramètres!K14</f>
        <v>42.5</v>
      </c>
      <c r="AI48" s="1420">
        <f>Paramètres!K41</f>
        <v>18</v>
      </c>
      <c r="AJ48" s="1420">
        <f>Paramètres!K68</f>
        <v>65</v>
      </c>
      <c r="AK48"/>
      <c r="AL48"/>
      <c r="AM48"/>
      <c r="AN48"/>
      <c r="AP48" s="1397">
        <f>Paramètres!K14</f>
        <v>42.5</v>
      </c>
      <c r="AQ48" s="1398">
        <f>Paramètres!L14</f>
        <v>0</v>
      </c>
      <c r="AR48" s="1398">
        <f>Paramètres!M14</f>
        <v>0</v>
      </c>
      <c r="AS48" s="1397">
        <f>Paramètres!N14</f>
        <v>0</v>
      </c>
      <c r="AT48" s="1398">
        <f>Paramètres!O14</f>
        <v>0</v>
      </c>
      <c r="AU48" s="1399">
        <f>Paramètres!P14</f>
        <v>0</v>
      </c>
      <c r="AV48" s="1398">
        <f>Paramètres!Q14</f>
        <v>0</v>
      </c>
      <c r="AW48" s="1398">
        <f>Paramètres!R14</f>
        <v>0</v>
      </c>
      <c r="AX48" s="1399">
        <f>Paramètres!S14</f>
        <v>0</v>
      </c>
      <c r="AY48" s="1394"/>
      <c r="AZ48" s="1397">
        <f>Paramètres!K41</f>
        <v>18</v>
      </c>
      <c r="BA48" s="1398">
        <f>Paramètres!L41</f>
        <v>0</v>
      </c>
      <c r="BB48" s="1398">
        <f>Paramètres!M41</f>
        <v>0</v>
      </c>
      <c r="BC48" s="1397">
        <f>Paramètres!N41</f>
        <v>0</v>
      </c>
      <c r="BD48" s="1398">
        <f>Paramètres!O41</f>
        <v>0</v>
      </c>
      <c r="BE48" s="1399">
        <f>Paramètres!P41</f>
        <v>0</v>
      </c>
      <c r="BF48" s="1398">
        <f>Paramètres!Q41</f>
        <v>0</v>
      </c>
      <c r="BG48" s="1398">
        <f>Paramètres!R41</f>
        <v>0</v>
      </c>
      <c r="BH48" s="1399">
        <f>Paramètres!S41</f>
        <v>0</v>
      </c>
      <c r="BJ48" s="1397">
        <f>Paramètres!K68</f>
        <v>65</v>
      </c>
      <c r="BK48" s="1398">
        <f>Paramètres!L68</f>
        <v>0</v>
      </c>
      <c r="BL48" s="1398">
        <f>Paramètres!M68</f>
        <v>0</v>
      </c>
      <c r="BM48" s="1397">
        <f>Paramètres!N68</f>
        <v>0</v>
      </c>
      <c r="BN48" s="1398">
        <f>Paramètres!O68</f>
        <v>0</v>
      </c>
      <c r="BO48" s="1399">
        <f>Paramètres!P68</f>
        <v>0</v>
      </c>
      <c r="BP48" s="1398">
        <f>Paramètres!Q68</f>
        <v>0</v>
      </c>
      <c r="BQ48" s="1398">
        <f>Paramètres!R68</f>
        <v>0</v>
      </c>
      <c r="BR48" s="1399">
        <f>Paramètres!S68</f>
        <v>0</v>
      </c>
    </row>
    <row r="49" spans="1:70" x14ac:dyDescent="0.2">
      <c r="A49" s="2163"/>
      <c r="B49" s="2246"/>
      <c r="C49" s="2247" t="s">
        <v>419</v>
      </c>
      <c r="D49" s="2247"/>
      <c r="E49" s="2248"/>
      <c r="F49" s="2182"/>
      <c r="G49" s="2183"/>
      <c r="H49" s="2184">
        <f>IF(TA_TypeVela=2,$AG49*AH49,IF(TA_TypeVela=1,$AG49*AH49/2,""))</f>
        <v>324</v>
      </c>
      <c r="I49" s="2185"/>
      <c r="J49" s="2183"/>
      <c r="K49" s="2184">
        <f>IF(TA_TypeVela=2,$AG49*AI49,IF(TA_TypeVela=1,$AG49*AI49/2,""))</f>
        <v>150</v>
      </c>
      <c r="L49" s="2185"/>
      <c r="M49" s="2183"/>
      <c r="N49" s="2186">
        <f>IF(TA_TypeVela=2,$AG49*AJ49,IF(TA_TypeVela=1,$AG49*AJ49/2,""))</f>
        <v>504</v>
      </c>
      <c r="O49" s="2171"/>
      <c r="P49" s="2171"/>
      <c r="Q49" s="2171"/>
      <c r="R49" s="2171"/>
      <c r="S49" s="2171"/>
      <c r="T49" s="2171"/>
      <c r="U49" s="2171"/>
      <c r="V49" s="2171"/>
      <c r="W49" s="2171"/>
      <c r="X49" s="2171"/>
      <c r="Y49" s="2171"/>
      <c r="Z49" s="2171"/>
      <c r="AA49"/>
      <c r="AB49"/>
      <c r="AC49"/>
      <c r="AD49"/>
      <c r="AE49" s="1421"/>
      <c r="AF49" s="1421" t="str">
        <f>C49</f>
        <v>● génisses de renouvellement (année 3)</v>
      </c>
      <c r="AG49" s="17">
        <f>TA_NbGenAn3</f>
        <v>6</v>
      </c>
      <c r="AH49" s="1420">
        <f>Paramètres!K15</f>
        <v>54</v>
      </c>
      <c r="AI49" s="1420">
        <f>Paramètres!K42</f>
        <v>25</v>
      </c>
      <c r="AJ49" s="1420">
        <f>Paramètres!K69</f>
        <v>84</v>
      </c>
      <c r="AK49"/>
      <c r="AL49"/>
      <c r="AM49"/>
      <c r="AN49"/>
      <c r="AP49" s="1397">
        <f>Paramètres!K15</f>
        <v>54</v>
      </c>
      <c r="AQ49" s="1398">
        <f>Paramètres!L15</f>
        <v>0</v>
      </c>
      <c r="AR49" s="1398">
        <f>Paramètres!M15</f>
        <v>0</v>
      </c>
      <c r="AS49" s="1397">
        <f>Paramètres!N15</f>
        <v>0</v>
      </c>
      <c r="AT49" s="1398">
        <f>Paramètres!O15</f>
        <v>0</v>
      </c>
      <c r="AU49" s="1399">
        <f>Paramètres!P15</f>
        <v>0</v>
      </c>
      <c r="AV49" s="1398">
        <f>Paramètres!Q15</f>
        <v>0</v>
      </c>
      <c r="AW49" s="1398">
        <f>Paramètres!R15</f>
        <v>0</v>
      </c>
      <c r="AX49" s="1399">
        <f>Paramètres!S15</f>
        <v>0</v>
      </c>
      <c r="AY49" s="1394"/>
      <c r="AZ49" s="1397">
        <f>Paramètres!K42</f>
        <v>25</v>
      </c>
      <c r="BA49" s="1398">
        <f>Paramètres!L42</f>
        <v>0</v>
      </c>
      <c r="BB49" s="1398">
        <f>Paramètres!M42</f>
        <v>0</v>
      </c>
      <c r="BC49" s="1397">
        <f>Paramètres!N42</f>
        <v>0</v>
      </c>
      <c r="BD49" s="1398">
        <f>Paramètres!O42</f>
        <v>0</v>
      </c>
      <c r="BE49" s="1399">
        <f>Paramètres!P42</f>
        <v>0</v>
      </c>
      <c r="BF49" s="1398">
        <f>Paramètres!Q42</f>
        <v>0</v>
      </c>
      <c r="BG49" s="1398">
        <f>Paramètres!R42</f>
        <v>0</v>
      </c>
      <c r="BH49" s="1399">
        <f>Paramètres!S42</f>
        <v>0</v>
      </c>
      <c r="BJ49" s="1397">
        <f>Paramètres!K69</f>
        <v>84</v>
      </c>
      <c r="BK49" s="1398">
        <f>Paramètres!L69</f>
        <v>0</v>
      </c>
      <c r="BL49" s="1398">
        <f>Paramètres!M69</f>
        <v>0</v>
      </c>
      <c r="BM49" s="1397">
        <f>Paramètres!N69</f>
        <v>0</v>
      </c>
      <c r="BN49" s="1398">
        <f>Paramètres!O69</f>
        <v>0</v>
      </c>
      <c r="BO49" s="1399">
        <f>Paramètres!P69</f>
        <v>0</v>
      </c>
      <c r="BP49" s="1398">
        <f>Paramètres!Q69</f>
        <v>0</v>
      </c>
      <c r="BQ49" s="1398">
        <f>Paramètres!R69</f>
        <v>0</v>
      </c>
      <c r="BR49" s="1399">
        <f>Paramètres!S69</f>
        <v>0</v>
      </c>
    </row>
    <row r="50" spans="1:70" x14ac:dyDescent="0.2">
      <c r="A50" s="2163"/>
      <c r="B50" s="3044" t="s">
        <v>420</v>
      </c>
      <c r="C50" s="3045"/>
      <c r="D50" s="3045"/>
      <c r="E50" s="3046"/>
      <c r="F50" s="2182"/>
      <c r="G50" s="2183"/>
      <c r="H50" s="2184"/>
      <c r="I50" s="2185"/>
      <c r="J50" s="2183"/>
      <c r="K50" s="2184"/>
      <c r="L50" s="2185"/>
      <c r="M50" s="2183"/>
      <c r="N50" s="2186"/>
      <c r="O50" s="2171"/>
      <c r="P50" s="2171"/>
      <c r="Q50" s="2171"/>
      <c r="R50" s="2171"/>
      <c r="S50" s="2171"/>
      <c r="T50" s="2171"/>
      <c r="U50" s="2171"/>
      <c r="V50" s="2171"/>
      <c r="W50" s="2171"/>
      <c r="X50" s="2171"/>
      <c r="Y50" s="2171"/>
      <c r="Z50" s="2171"/>
      <c r="AA50"/>
      <c r="AB50"/>
      <c r="AC50"/>
      <c r="AD50"/>
      <c r="AE50" s="1421" t="str">
        <f>B50</f>
        <v>Animaux en engraissement</v>
      </c>
      <c r="AF50" s="1421"/>
      <c r="AG50"/>
      <c r="AH50"/>
      <c r="AI50"/>
      <c r="AJ50"/>
      <c r="AK50"/>
      <c r="AL50"/>
      <c r="AM50"/>
      <c r="AN50"/>
      <c r="AP50" s="27"/>
      <c r="AQ50" s="28"/>
      <c r="AR50" s="28"/>
      <c r="AS50" s="27"/>
      <c r="AT50" s="28"/>
      <c r="AU50" s="29"/>
      <c r="AV50" s="28"/>
      <c r="AW50" s="28"/>
      <c r="AX50" s="29"/>
      <c r="AY50" s="1394"/>
      <c r="AZ50" s="27"/>
      <c r="BA50" s="28"/>
      <c r="BB50" s="28"/>
      <c r="BC50" s="27"/>
      <c r="BD50" s="28"/>
      <c r="BE50" s="29"/>
      <c r="BF50" s="28"/>
      <c r="BG50" s="28"/>
      <c r="BH50" s="29"/>
      <c r="BJ50" s="27"/>
      <c r="BK50" s="28"/>
      <c r="BL50" s="28"/>
      <c r="BM50" s="27"/>
      <c r="BN50" s="28"/>
      <c r="BO50" s="29"/>
      <c r="BP50" s="28"/>
      <c r="BQ50" s="28"/>
      <c r="BR50" s="29"/>
    </row>
    <row r="51" spans="1:70" x14ac:dyDescent="0.2">
      <c r="A51" s="2163"/>
      <c r="B51" s="3031" t="s">
        <v>421</v>
      </c>
      <c r="C51" s="3032"/>
      <c r="D51" s="3032"/>
      <c r="E51" s="3033"/>
      <c r="F51" s="2182"/>
      <c r="G51" s="2183"/>
      <c r="H51" s="2184"/>
      <c r="I51" s="2185"/>
      <c r="J51" s="2183"/>
      <c r="K51" s="2184"/>
      <c r="L51" s="2185"/>
      <c r="M51" s="2183"/>
      <c r="N51" s="2186"/>
      <c r="O51" s="2171"/>
      <c r="P51" s="2171"/>
      <c r="Q51" s="2171"/>
      <c r="R51" s="2171"/>
      <c r="S51" s="2171"/>
      <c r="T51" s="2171"/>
      <c r="U51" s="2171"/>
      <c r="V51" s="2171"/>
      <c r="W51" s="2171"/>
      <c r="X51" s="2171"/>
      <c r="Y51" s="2171"/>
      <c r="Z51" s="2171"/>
      <c r="AA51"/>
      <c r="AB51"/>
      <c r="AC51"/>
      <c r="AD51"/>
      <c r="AE51" s="1421" t="str">
        <f>B51</f>
        <v>● Mâles à l'engraissement</v>
      </c>
      <c r="AF51" s="1421"/>
      <c r="AG51"/>
      <c r="AH51"/>
      <c r="AI51"/>
      <c r="AJ51"/>
      <c r="AK51"/>
      <c r="AL51"/>
      <c r="AM51"/>
      <c r="AN51"/>
      <c r="AP51" s="27"/>
      <c r="AQ51" s="28"/>
      <c r="AR51" s="28"/>
      <c r="AS51" s="27"/>
      <c r="AT51" s="28"/>
      <c r="AU51" s="29"/>
      <c r="AV51" s="28"/>
      <c r="AW51" s="28"/>
      <c r="AX51" s="29"/>
      <c r="AY51" s="1394"/>
      <c r="AZ51" s="27"/>
      <c r="BA51" s="28"/>
      <c r="BB51" s="28"/>
      <c r="BC51" s="27"/>
      <c r="BD51" s="28"/>
      <c r="BE51" s="29"/>
      <c r="BF51" s="28"/>
      <c r="BG51" s="28"/>
      <c r="BH51" s="29"/>
      <c r="BJ51" s="27"/>
      <c r="BK51" s="28"/>
      <c r="BL51" s="28"/>
      <c r="BM51" s="27"/>
      <c r="BN51" s="28"/>
      <c r="BO51" s="29"/>
      <c r="BP51" s="28"/>
      <c r="BQ51" s="28"/>
      <c r="BR51" s="29"/>
    </row>
    <row r="52" spans="1:70" x14ac:dyDescent="0.2">
      <c r="A52" s="2163"/>
      <c r="B52" s="2259"/>
      <c r="C52" s="3034" t="s">
        <v>422</v>
      </c>
      <c r="D52" s="3034"/>
      <c r="E52" s="3035"/>
      <c r="F52" s="2182"/>
      <c r="G52" s="2183"/>
      <c r="H52" s="2184">
        <f>$AG52*AH52</f>
        <v>275</v>
      </c>
      <c r="I52" s="2185"/>
      <c r="J52" s="2183"/>
      <c r="K52" s="2184">
        <f>$AG52*AI52</f>
        <v>77</v>
      </c>
      <c r="L52" s="2185"/>
      <c r="M52" s="2183"/>
      <c r="N52" s="2186">
        <f>$AG52*AJ52</f>
        <v>374</v>
      </c>
      <c r="O52" s="2171"/>
      <c r="P52" s="2171"/>
      <c r="Q52" s="2171"/>
      <c r="R52" s="2171"/>
      <c r="S52" s="2171"/>
      <c r="T52" s="2171"/>
      <c r="U52" s="2171"/>
      <c r="V52" s="2171"/>
      <c r="W52" s="2171"/>
      <c r="X52" s="2171"/>
      <c r="Y52" s="2171"/>
      <c r="Z52" s="2171"/>
      <c r="AA52"/>
      <c r="AB52"/>
      <c r="AC52"/>
      <c r="AD52"/>
      <c r="AE52" s="1421"/>
      <c r="AF52" s="1421" t="str">
        <f>C52</f>
        <v xml:space="preserve">   - mâles année 1 (y compris taurillons)</v>
      </c>
      <c r="AG52" s="17">
        <f>EN_NbMalAn1</f>
        <v>11</v>
      </c>
      <c r="AH52" s="1420">
        <f>Paramètres!K18</f>
        <v>25</v>
      </c>
      <c r="AI52" s="1420">
        <f>Paramètres!K45</f>
        <v>7</v>
      </c>
      <c r="AJ52" s="1420">
        <f>Paramètres!K72</f>
        <v>34</v>
      </c>
      <c r="AK52"/>
      <c r="AL52"/>
      <c r="AM52"/>
      <c r="AN52"/>
      <c r="AP52" s="1397">
        <f>Paramètres!K18</f>
        <v>25</v>
      </c>
      <c r="AQ52" s="1398">
        <f>Paramètres!L18</f>
        <v>0</v>
      </c>
      <c r="AR52" s="1398">
        <f>Paramètres!M18</f>
        <v>0</v>
      </c>
      <c r="AS52" s="1397">
        <f>Paramètres!N18</f>
        <v>0</v>
      </c>
      <c r="AT52" s="1398">
        <f>Paramètres!O18</f>
        <v>0</v>
      </c>
      <c r="AU52" s="1399">
        <f>Paramètres!P18</f>
        <v>0</v>
      </c>
      <c r="AV52" s="1398">
        <f>Paramètres!Q18</f>
        <v>0</v>
      </c>
      <c r="AW52" s="1398">
        <f>Paramètres!R18</f>
        <v>0</v>
      </c>
      <c r="AX52" s="1399">
        <f>Paramètres!S18</f>
        <v>0</v>
      </c>
      <c r="AY52" s="1394"/>
      <c r="AZ52" s="1397">
        <f>Paramètres!K45</f>
        <v>7</v>
      </c>
      <c r="BA52" s="1398">
        <f>Paramètres!L45</f>
        <v>0</v>
      </c>
      <c r="BB52" s="1398">
        <f>Paramètres!M45</f>
        <v>0</v>
      </c>
      <c r="BC52" s="1397">
        <f>Paramètres!N45</f>
        <v>0</v>
      </c>
      <c r="BD52" s="1398">
        <f>Paramètres!O45</f>
        <v>0</v>
      </c>
      <c r="BE52" s="1399">
        <f>Paramètres!P45</f>
        <v>0</v>
      </c>
      <c r="BF52" s="1398">
        <f>Paramètres!Q45</f>
        <v>0</v>
      </c>
      <c r="BG52" s="1398">
        <f>Paramètres!R45</f>
        <v>0</v>
      </c>
      <c r="BH52" s="1399">
        <f>Paramètres!S45</f>
        <v>0</v>
      </c>
      <c r="BJ52" s="1397">
        <f>Paramètres!K72</f>
        <v>34</v>
      </c>
      <c r="BK52" s="1398">
        <f>Paramètres!L72</f>
        <v>0</v>
      </c>
      <c r="BL52" s="1398">
        <f>Paramètres!M72</f>
        <v>0</v>
      </c>
      <c r="BM52" s="1397">
        <f>Paramètres!N72</f>
        <v>0</v>
      </c>
      <c r="BN52" s="1398">
        <f>Paramètres!O72</f>
        <v>0</v>
      </c>
      <c r="BO52" s="1399">
        <f>Paramètres!P72</f>
        <v>0</v>
      </c>
      <c r="BP52" s="1398">
        <f>Paramètres!Q72</f>
        <v>0</v>
      </c>
      <c r="BQ52" s="1398">
        <f>Paramètres!R72</f>
        <v>0</v>
      </c>
      <c r="BR52" s="1399">
        <f>Paramètres!S72</f>
        <v>0</v>
      </c>
    </row>
    <row r="53" spans="1:70" x14ac:dyDescent="0.2">
      <c r="A53" s="2163"/>
      <c r="B53" s="2259"/>
      <c r="C53" s="3034" t="s">
        <v>423</v>
      </c>
      <c r="D53" s="3034"/>
      <c r="E53" s="3035"/>
      <c r="F53" s="2182"/>
      <c r="G53" s="2183"/>
      <c r="H53" s="2184">
        <f>$AG53*AH53</f>
        <v>0</v>
      </c>
      <c r="I53" s="2185"/>
      <c r="J53" s="2183"/>
      <c r="K53" s="2184">
        <f>$AG53*AI53</f>
        <v>0</v>
      </c>
      <c r="L53" s="2185"/>
      <c r="M53" s="2183"/>
      <c r="N53" s="2186">
        <f>$AG53*AJ53</f>
        <v>0</v>
      </c>
      <c r="O53" s="2171"/>
      <c r="P53" s="2171"/>
      <c r="Q53" s="2171"/>
      <c r="R53" s="2171"/>
      <c r="S53" s="2171"/>
      <c r="T53" s="2171"/>
      <c r="U53" s="2171"/>
      <c r="V53" s="2171"/>
      <c r="W53" s="2171"/>
      <c r="X53" s="2171"/>
      <c r="Y53" s="2171"/>
      <c r="Z53" s="2171"/>
      <c r="AA53"/>
      <c r="AB53"/>
      <c r="AC53"/>
      <c r="AD53"/>
      <c r="AE53" s="1421"/>
      <c r="AF53" s="1421" t="str">
        <f>C53</f>
        <v xml:space="preserve">   - mâles année 2 (hors taurillons)</v>
      </c>
      <c r="AG53" s="17">
        <f>EN_NbMalAn2</f>
        <v>0</v>
      </c>
      <c r="AH53" s="1420">
        <f>Paramètres!K19</f>
        <v>42.5</v>
      </c>
      <c r="AI53" s="1420">
        <f>Paramètres!K46</f>
        <v>25</v>
      </c>
      <c r="AJ53" s="1420">
        <f>Paramètres!K73</f>
        <v>46</v>
      </c>
      <c r="AK53"/>
      <c r="AL53"/>
      <c r="AM53"/>
      <c r="AN53"/>
      <c r="AP53" s="1397">
        <f>Paramètres!K19</f>
        <v>42.5</v>
      </c>
      <c r="AQ53" s="1398">
        <f>Paramètres!L19</f>
        <v>0</v>
      </c>
      <c r="AR53" s="1398">
        <f>Paramètres!M19</f>
        <v>0</v>
      </c>
      <c r="AS53" s="1397">
        <f>Paramètres!N19</f>
        <v>0</v>
      </c>
      <c r="AT53" s="1398">
        <f>Paramètres!O19</f>
        <v>0</v>
      </c>
      <c r="AU53" s="1399">
        <f>Paramètres!P19</f>
        <v>0</v>
      </c>
      <c r="AV53" s="1398">
        <f>Paramètres!Q19</f>
        <v>0</v>
      </c>
      <c r="AW53" s="1398">
        <f>Paramètres!R19</f>
        <v>0</v>
      </c>
      <c r="AX53" s="1399">
        <f>Paramètres!S19</f>
        <v>0</v>
      </c>
      <c r="AY53" s="1394"/>
      <c r="AZ53" s="1397">
        <f>Paramètres!K46</f>
        <v>25</v>
      </c>
      <c r="BA53" s="1398">
        <f>Paramètres!L46</f>
        <v>0</v>
      </c>
      <c r="BB53" s="1398">
        <f>Paramètres!M46</f>
        <v>0</v>
      </c>
      <c r="BC53" s="1397">
        <f>Paramètres!N46</f>
        <v>0</v>
      </c>
      <c r="BD53" s="1398">
        <f>Paramètres!O46</f>
        <v>0</v>
      </c>
      <c r="BE53" s="1399">
        <f>Paramètres!P46</f>
        <v>0</v>
      </c>
      <c r="BF53" s="1398">
        <f>Paramètres!Q46</f>
        <v>0</v>
      </c>
      <c r="BG53" s="1398">
        <f>Paramètres!R46</f>
        <v>0</v>
      </c>
      <c r="BH53" s="1399">
        <f>Paramètres!S46</f>
        <v>0</v>
      </c>
      <c r="BJ53" s="1397">
        <f>Paramètres!K73</f>
        <v>46</v>
      </c>
      <c r="BK53" s="1398">
        <f>Paramètres!L73</f>
        <v>0</v>
      </c>
      <c r="BL53" s="1398">
        <f>Paramètres!M73</f>
        <v>0</v>
      </c>
      <c r="BM53" s="1397">
        <f>Paramètres!N73</f>
        <v>0</v>
      </c>
      <c r="BN53" s="1398">
        <f>Paramètres!O73</f>
        <v>0</v>
      </c>
      <c r="BO53" s="1399">
        <f>Paramètres!P73</f>
        <v>0</v>
      </c>
      <c r="BP53" s="1398">
        <f>Paramètres!Q73</f>
        <v>0</v>
      </c>
      <c r="BQ53" s="1398">
        <f>Paramètres!R73</f>
        <v>0</v>
      </c>
      <c r="BR53" s="1399">
        <f>Paramètres!S73</f>
        <v>0</v>
      </c>
    </row>
    <row r="54" spans="1:70" x14ac:dyDescent="0.2">
      <c r="A54" s="2163"/>
      <c r="B54" s="2259"/>
      <c r="C54" s="3034" t="s">
        <v>424</v>
      </c>
      <c r="D54" s="3034"/>
      <c r="E54" s="3035"/>
      <c r="F54" s="2182"/>
      <c r="G54" s="2183"/>
      <c r="H54" s="2184">
        <f>$AG54*AH54</f>
        <v>0</v>
      </c>
      <c r="I54" s="2185"/>
      <c r="J54" s="2183"/>
      <c r="K54" s="2184">
        <f>$AG54*AI54</f>
        <v>0</v>
      </c>
      <c r="L54" s="2185"/>
      <c r="M54" s="2183"/>
      <c r="N54" s="2186">
        <f>$AG54*AJ54</f>
        <v>0</v>
      </c>
      <c r="O54" s="2171"/>
      <c r="P54" s="2171"/>
      <c r="Q54" s="2171"/>
      <c r="R54" s="2171"/>
      <c r="S54" s="2171"/>
      <c r="T54" s="2171"/>
      <c r="U54" s="2171"/>
      <c r="V54" s="2171"/>
      <c r="W54" s="2171"/>
      <c r="X54" s="2171"/>
      <c r="Y54" s="2171"/>
      <c r="Z54" s="2171"/>
      <c r="AA54"/>
      <c r="AB54"/>
      <c r="AC54"/>
      <c r="AD54"/>
      <c r="AE54" s="1421"/>
      <c r="AF54" s="1421" t="str">
        <f>C54</f>
        <v xml:space="preserve">   - mâles année 3</v>
      </c>
      <c r="AG54" s="17">
        <f>0.33*EN_NbMal28m+0.5*EN_NbMal30m+0.75*EN_NbMal33m+EN_NbMal36m</f>
        <v>0</v>
      </c>
      <c r="AH54" s="1420">
        <f>Paramètres!K20</f>
        <v>73</v>
      </c>
      <c r="AI54" s="1420">
        <f>Paramètres!K47</f>
        <v>34</v>
      </c>
      <c r="AJ54" s="1420">
        <f>Paramètres!K74</f>
        <v>103</v>
      </c>
      <c r="AK54"/>
      <c r="AL54"/>
      <c r="AM54"/>
      <c r="AN54"/>
      <c r="AP54" s="1397">
        <f>Paramètres!K20</f>
        <v>73</v>
      </c>
      <c r="AQ54" s="1398">
        <f>Paramètres!L20</f>
        <v>0</v>
      </c>
      <c r="AR54" s="1398">
        <f>Paramètres!M20</f>
        <v>0</v>
      </c>
      <c r="AS54" s="1397">
        <f>Paramètres!N20</f>
        <v>0</v>
      </c>
      <c r="AT54" s="1398">
        <f>Paramètres!O20</f>
        <v>0</v>
      </c>
      <c r="AU54" s="1399">
        <f>Paramètres!P20</f>
        <v>0</v>
      </c>
      <c r="AV54" s="1398">
        <f>Paramètres!Q20</f>
        <v>0</v>
      </c>
      <c r="AW54" s="1398">
        <f>Paramètres!R20</f>
        <v>0</v>
      </c>
      <c r="AX54" s="1399">
        <f>Paramètres!S20</f>
        <v>0</v>
      </c>
      <c r="AY54" s="1394"/>
      <c r="AZ54" s="1397">
        <f>Paramètres!K47</f>
        <v>34</v>
      </c>
      <c r="BA54" s="1398">
        <f>Paramètres!L47</f>
        <v>0</v>
      </c>
      <c r="BB54" s="1398">
        <f>Paramètres!M47</f>
        <v>0</v>
      </c>
      <c r="BC54" s="1397">
        <f>Paramètres!N47</f>
        <v>0</v>
      </c>
      <c r="BD54" s="1398">
        <f>Paramètres!O47</f>
        <v>0</v>
      </c>
      <c r="BE54" s="1399">
        <f>Paramètres!P47</f>
        <v>0</v>
      </c>
      <c r="BF54" s="1398">
        <f>Paramètres!Q47</f>
        <v>0</v>
      </c>
      <c r="BG54" s="1398">
        <f>Paramètres!R47</f>
        <v>0</v>
      </c>
      <c r="BH54" s="1399">
        <f>Paramètres!S47</f>
        <v>0</v>
      </c>
      <c r="BJ54" s="1397">
        <f>Paramètres!K74</f>
        <v>103</v>
      </c>
      <c r="BK54" s="1398">
        <f>Paramètres!L74</f>
        <v>0</v>
      </c>
      <c r="BL54" s="1398">
        <f>Paramètres!M74</f>
        <v>0</v>
      </c>
      <c r="BM54" s="1397">
        <f>Paramètres!N74</f>
        <v>0</v>
      </c>
      <c r="BN54" s="1398">
        <f>Paramètres!O74</f>
        <v>0</v>
      </c>
      <c r="BO54" s="1399">
        <f>Paramètres!P74</f>
        <v>0</v>
      </c>
      <c r="BP54" s="1398">
        <f>Paramètres!Q74</f>
        <v>0</v>
      </c>
      <c r="BQ54" s="1398">
        <f>Paramètres!R74</f>
        <v>0</v>
      </c>
      <c r="BR54" s="1399">
        <f>Paramètres!S74</f>
        <v>0</v>
      </c>
    </row>
    <row r="55" spans="1:70" x14ac:dyDescent="0.2">
      <c r="A55" s="2163"/>
      <c r="B55" s="3031" t="s">
        <v>428</v>
      </c>
      <c r="C55" s="3032"/>
      <c r="D55" s="3032"/>
      <c r="E55" s="3033"/>
      <c r="F55" s="2182"/>
      <c r="G55" s="2183"/>
      <c r="H55" s="2184">
        <f>$AG55*AH55</f>
        <v>0</v>
      </c>
      <c r="I55" s="2185"/>
      <c r="J55" s="2183"/>
      <c r="K55" s="2184">
        <f>$AG55*AI55</f>
        <v>0</v>
      </c>
      <c r="L55" s="2185"/>
      <c r="M55" s="2183"/>
      <c r="N55" s="2186">
        <f>$AG55*AJ55</f>
        <v>0</v>
      </c>
      <c r="O55" s="2171"/>
      <c r="P55" s="2171"/>
      <c r="Q55" s="2171"/>
      <c r="R55" s="2171"/>
      <c r="S55" s="2171"/>
      <c r="T55" s="2171"/>
      <c r="U55" s="2171"/>
      <c r="V55" s="2171"/>
      <c r="W55" s="2171"/>
      <c r="X55" s="2171"/>
      <c r="Y55" s="2171"/>
      <c r="Z55" s="2171"/>
      <c r="AA55"/>
      <c r="AB55"/>
      <c r="AC55"/>
      <c r="AD55"/>
      <c r="AE55" s="1421" t="str">
        <f>B55</f>
        <v>● Tous taurillons (année 2)</v>
      </c>
      <c r="AF55" s="1421"/>
      <c r="AG55" s="17">
        <f>EN_NbTauril+EN_NbTaurilait</f>
        <v>0</v>
      </c>
      <c r="AH55" s="1420">
        <f>Paramètres!K21</f>
        <v>20</v>
      </c>
      <c r="AI55" s="1420">
        <f>Paramètres!K48</f>
        <v>12</v>
      </c>
      <c r="AJ55" s="1420">
        <f>Paramètres!K75</f>
        <v>35</v>
      </c>
      <c r="AK55"/>
      <c r="AL55"/>
      <c r="AM55"/>
      <c r="AN55"/>
      <c r="AP55" s="1397">
        <f>Paramètres!K21</f>
        <v>20</v>
      </c>
      <c r="AQ55" s="1398">
        <f>Paramètres!L21</f>
        <v>0</v>
      </c>
      <c r="AR55" s="1398">
        <f>Paramètres!M21</f>
        <v>0</v>
      </c>
      <c r="AS55" s="1397">
        <f>Paramètres!N21</f>
        <v>0</v>
      </c>
      <c r="AT55" s="1398">
        <f>Paramètres!O21</f>
        <v>0</v>
      </c>
      <c r="AU55" s="1399">
        <f>Paramètres!P21</f>
        <v>0</v>
      </c>
      <c r="AV55" s="1398">
        <f>Paramètres!Q21</f>
        <v>0</v>
      </c>
      <c r="AW55" s="1398">
        <f>Paramètres!R21</f>
        <v>0</v>
      </c>
      <c r="AX55" s="1399">
        <f>Paramètres!S21</f>
        <v>0</v>
      </c>
      <c r="AY55" s="1394"/>
      <c r="AZ55" s="1397">
        <f>Paramètres!K48</f>
        <v>12</v>
      </c>
      <c r="BA55" s="1398">
        <f>Paramètres!L48</f>
        <v>0</v>
      </c>
      <c r="BB55" s="1398">
        <f>Paramètres!M48</f>
        <v>0</v>
      </c>
      <c r="BC55" s="1397">
        <f>Paramètres!N48</f>
        <v>0</v>
      </c>
      <c r="BD55" s="1398">
        <f>Paramètres!O48</f>
        <v>0</v>
      </c>
      <c r="BE55" s="1399">
        <f>Paramètres!P48</f>
        <v>0</v>
      </c>
      <c r="BF55" s="1398">
        <f>Paramètres!Q48</f>
        <v>0</v>
      </c>
      <c r="BG55" s="1398">
        <f>Paramètres!R48</f>
        <v>0</v>
      </c>
      <c r="BH55" s="1399">
        <f>Paramètres!S48</f>
        <v>0</v>
      </c>
      <c r="BJ55" s="1397">
        <f>Paramètres!K75</f>
        <v>35</v>
      </c>
      <c r="BK55" s="1398">
        <f>Paramètres!L75</f>
        <v>0</v>
      </c>
      <c r="BL55" s="1398">
        <f>Paramètres!M75</f>
        <v>0</v>
      </c>
      <c r="BM55" s="1397">
        <f>Paramètres!N75</f>
        <v>0</v>
      </c>
      <c r="BN55" s="1398">
        <f>Paramètres!O75</f>
        <v>0</v>
      </c>
      <c r="BO55" s="1399">
        <f>Paramètres!P75</f>
        <v>0</v>
      </c>
      <c r="BP55" s="1398">
        <f>Paramètres!Q75</f>
        <v>0</v>
      </c>
      <c r="BQ55" s="1398">
        <f>Paramètres!R75</f>
        <v>0</v>
      </c>
      <c r="BR55" s="1399">
        <f>Paramètres!S75</f>
        <v>0</v>
      </c>
    </row>
    <row r="56" spans="1:70" x14ac:dyDescent="0.2">
      <c r="A56" s="2163"/>
      <c r="B56" s="3031" t="s">
        <v>425</v>
      </c>
      <c r="C56" s="3032"/>
      <c r="D56" s="3032"/>
      <c r="E56" s="3033"/>
      <c r="F56" s="2182"/>
      <c r="G56" s="2183"/>
      <c r="H56" s="2184"/>
      <c r="I56" s="2185"/>
      <c r="J56" s="2183"/>
      <c r="K56" s="2184"/>
      <c r="L56" s="2185"/>
      <c r="M56" s="2183"/>
      <c r="N56" s="2186"/>
      <c r="O56" s="2171"/>
      <c r="P56" s="2171"/>
      <c r="Q56" s="2171"/>
      <c r="R56" s="2171"/>
      <c r="S56" s="2171"/>
      <c r="T56" s="2171"/>
      <c r="U56" s="2171"/>
      <c r="V56" s="2171"/>
      <c r="W56" s="2171"/>
      <c r="X56" s="2171"/>
      <c r="Y56" s="2171"/>
      <c r="Z56" s="2171"/>
      <c r="AA56"/>
      <c r="AB56"/>
      <c r="AC56"/>
      <c r="AD56"/>
      <c r="AE56" s="1421" t="str">
        <f>B56</f>
        <v>● Génisses à l'engraissement</v>
      </c>
      <c r="AF56" s="1421"/>
      <c r="AG56"/>
      <c r="AH56"/>
      <c r="AI56"/>
      <c r="AJ56"/>
      <c r="AK56"/>
      <c r="AL56"/>
      <c r="AM56"/>
      <c r="AN56"/>
      <c r="AP56" s="27"/>
      <c r="AQ56" s="28"/>
      <c r="AR56" s="28"/>
      <c r="AS56" s="27"/>
      <c r="AT56" s="28"/>
      <c r="AU56" s="29"/>
      <c r="AV56" s="28"/>
      <c r="AW56" s="28"/>
      <c r="AX56" s="29"/>
      <c r="AY56" s="1394"/>
      <c r="AZ56" s="27"/>
      <c r="BA56" s="28"/>
      <c r="BB56" s="28"/>
      <c r="BC56" s="27"/>
      <c r="BD56" s="28"/>
      <c r="BE56" s="29"/>
      <c r="BF56" s="28"/>
      <c r="BG56" s="28"/>
      <c r="BH56" s="29"/>
      <c r="BJ56" s="27"/>
      <c r="BK56" s="28"/>
      <c r="BL56" s="28"/>
      <c r="BM56" s="27"/>
      <c r="BN56" s="28"/>
      <c r="BO56" s="29"/>
      <c r="BP56" s="28"/>
      <c r="BQ56" s="28"/>
      <c r="BR56" s="29"/>
    </row>
    <row r="57" spans="1:70" x14ac:dyDescent="0.2">
      <c r="A57" s="2163"/>
      <c r="B57" s="2259"/>
      <c r="C57" s="3034" t="s">
        <v>426</v>
      </c>
      <c r="D57" s="3034"/>
      <c r="E57" s="3035"/>
      <c r="F57" s="2182"/>
      <c r="G57" s="2183"/>
      <c r="H57" s="2184">
        <f>$AG57*AH57</f>
        <v>0</v>
      </c>
      <c r="I57" s="2185"/>
      <c r="J57" s="2183"/>
      <c r="K57" s="2184">
        <f>$AG57*AI57</f>
        <v>0</v>
      </c>
      <c r="L57" s="2185"/>
      <c r="M57" s="2183"/>
      <c r="N57" s="2186">
        <f>$AG57*AJ57</f>
        <v>0</v>
      </c>
      <c r="O57" s="2171"/>
      <c r="P57" s="2171"/>
      <c r="Q57" s="2171"/>
      <c r="R57" s="2171"/>
      <c r="S57" s="2171"/>
      <c r="T57" s="2171"/>
      <c r="U57" s="2171"/>
      <c r="V57" s="2171"/>
      <c r="W57" s="2171"/>
      <c r="X57" s="2171"/>
      <c r="Y57" s="2171"/>
      <c r="Z57" s="2171"/>
      <c r="AA57"/>
      <c r="AB57"/>
      <c r="AC57"/>
      <c r="AD57"/>
      <c r="AE57" s="1421"/>
      <c r="AF57" s="1421" t="str">
        <f>C57</f>
        <v xml:space="preserve">   - génisses année 2</v>
      </c>
      <c r="AG57" s="17">
        <f>EN_NbGenAn2</f>
        <v>0</v>
      </c>
      <c r="AH57" s="1420">
        <f>Paramètres!K23</f>
        <v>42.5</v>
      </c>
      <c r="AI57" s="1420">
        <f>Paramètres!K50</f>
        <v>18</v>
      </c>
      <c r="AJ57" s="1420">
        <f>Paramètres!K77</f>
        <v>65</v>
      </c>
      <c r="AK57"/>
      <c r="AL57"/>
      <c r="AM57"/>
      <c r="AN57"/>
      <c r="AP57" s="1397">
        <f>Paramètres!K23</f>
        <v>42.5</v>
      </c>
      <c r="AQ57" s="1398">
        <f>Paramètres!L23</f>
        <v>0</v>
      </c>
      <c r="AR57" s="1398">
        <f>Paramètres!M23</f>
        <v>0</v>
      </c>
      <c r="AS57" s="1397">
        <f>Paramètres!N23</f>
        <v>0</v>
      </c>
      <c r="AT57" s="1398">
        <f>Paramètres!O23</f>
        <v>0</v>
      </c>
      <c r="AU57" s="1399">
        <f>Paramètres!P23</f>
        <v>0</v>
      </c>
      <c r="AV57" s="1398">
        <f>Paramètres!Q23</f>
        <v>0</v>
      </c>
      <c r="AW57" s="1398">
        <f>Paramètres!R23</f>
        <v>0</v>
      </c>
      <c r="AX57" s="1399">
        <f>Paramètres!S23</f>
        <v>0</v>
      </c>
      <c r="AY57" s="1394"/>
      <c r="AZ57" s="1397">
        <f>Paramètres!K50</f>
        <v>18</v>
      </c>
      <c r="BA57" s="1398">
        <f>Paramètres!L50</f>
        <v>0</v>
      </c>
      <c r="BB57" s="1398">
        <f>Paramètres!M50</f>
        <v>0</v>
      </c>
      <c r="BC57" s="1397">
        <f>Paramètres!N50</f>
        <v>0</v>
      </c>
      <c r="BD57" s="1398">
        <f>Paramètres!O50</f>
        <v>0</v>
      </c>
      <c r="BE57" s="1399">
        <f>Paramètres!P50</f>
        <v>0</v>
      </c>
      <c r="BF57" s="1398">
        <f>Paramètres!Q50</f>
        <v>0</v>
      </c>
      <c r="BG57" s="1398">
        <f>Paramètres!R50</f>
        <v>0</v>
      </c>
      <c r="BH57" s="1399">
        <f>Paramètres!S50</f>
        <v>0</v>
      </c>
      <c r="BJ57" s="1397">
        <f>Paramètres!K77</f>
        <v>65</v>
      </c>
      <c r="BK57" s="1398">
        <f>Paramètres!L77</f>
        <v>0</v>
      </c>
      <c r="BL57" s="1398">
        <f>Paramètres!M77</f>
        <v>0</v>
      </c>
      <c r="BM57" s="1397">
        <f>Paramètres!N77</f>
        <v>0</v>
      </c>
      <c r="BN57" s="1398">
        <f>Paramètres!O77</f>
        <v>0</v>
      </c>
      <c r="BO57" s="1399">
        <f>Paramètres!P77</f>
        <v>0</v>
      </c>
      <c r="BP57" s="1398">
        <f>Paramètres!Q77</f>
        <v>0</v>
      </c>
      <c r="BQ57" s="1398">
        <f>Paramètres!R77</f>
        <v>0</v>
      </c>
      <c r="BR57" s="1399">
        <f>Paramètres!S77</f>
        <v>0</v>
      </c>
    </row>
    <row r="58" spans="1:70" x14ac:dyDescent="0.2">
      <c r="A58" s="2163"/>
      <c r="B58" s="2259"/>
      <c r="C58" s="3034" t="s">
        <v>427</v>
      </c>
      <c r="D58" s="3034"/>
      <c r="E58" s="3035"/>
      <c r="F58" s="2182"/>
      <c r="G58" s="2183"/>
      <c r="H58" s="2184">
        <f>$AG58*AH58</f>
        <v>0</v>
      </c>
      <c r="I58" s="2185"/>
      <c r="J58" s="2183"/>
      <c r="K58" s="2184">
        <f>$AG58*AI58</f>
        <v>0</v>
      </c>
      <c r="L58" s="2185"/>
      <c r="M58" s="2183"/>
      <c r="N58" s="2186">
        <f>$AG58*AJ58</f>
        <v>0</v>
      </c>
      <c r="O58" s="2171"/>
      <c r="P58" s="2171"/>
      <c r="Q58" s="2171"/>
      <c r="R58" s="2171"/>
      <c r="S58" s="2171"/>
      <c r="T58" s="2171"/>
      <c r="U58" s="2171"/>
      <c r="V58" s="2171"/>
      <c r="W58" s="2171"/>
      <c r="X58" s="2171"/>
      <c r="Y58" s="2171"/>
      <c r="Z58" s="2171"/>
      <c r="AA58"/>
      <c r="AB58"/>
      <c r="AC58"/>
      <c r="AD58"/>
      <c r="AE58" s="1421"/>
      <c r="AF58" s="1421" t="str">
        <f>C58</f>
        <v xml:space="preserve">   - génisses année 3</v>
      </c>
      <c r="AG58" s="17">
        <f>0.5*EN_NbGen30m+0.75*EN_NbGen33m+EN_NbGen36m</f>
        <v>0</v>
      </c>
      <c r="AH58" s="1420">
        <f>Paramètres!K24</f>
        <v>54</v>
      </c>
      <c r="AI58" s="1420">
        <f>Paramètres!K51</f>
        <v>25</v>
      </c>
      <c r="AJ58" s="1420">
        <f>Paramètres!K78</f>
        <v>84</v>
      </c>
      <c r="AK58"/>
      <c r="AL58"/>
      <c r="AM58"/>
      <c r="AN58"/>
      <c r="AP58" s="1397">
        <f>Paramètres!K24</f>
        <v>54</v>
      </c>
      <c r="AQ58" s="1398">
        <f>Paramètres!L24</f>
        <v>0</v>
      </c>
      <c r="AR58" s="1398">
        <f>Paramètres!M24</f>
        <v>0</v>
      </c>
      <c r="AS58" s="1397">
        <f>Paramètres!N24</f>
        <v>0</v>
      </c>
      <c r="AT58" s="1398">
        <f>Paramètres!O24</f>
        <v>0</v>
      </c>
      <c r="AU58" s="1399">
        <f>Paramètres!P24</f>
        <v>0</v>
      </c>
      <c r="AV58" s="1398">
        <f>Paramètres!Q24</f>
        <v>0</v>
      </c>
      <c r="AW58" s="1398">
        <f>Paramètres!R24</f>
        <v>0</v>
      </c>
      <c r="AX58" s="1399">
        <f>Paramètres!S24</f>
        <v>0</v>
      </c>
      <c r="AY58" s="1394"/>
      <c r="AZ58" s="1397">
        <f>Paramètres!K51</f>
        <v>25</v>
      </c>
      <c r="BA58" s="1398">
        <f>Paramètres!L51</f>
        <v>0</v>
      </c>
      <c r="BB58" s="1398">
        <f>Paramètres!M51</f>
        <v>0</v>
      </c>
      <c r="BC58" s="1397">
        <f>Paramètres!N51</f>
        <v>0</v>
      </c>
      <c r="BD58" s="1398">
        <f>Paramètres!O51</f>
        <v>0</v>
      </c>
      <c r="BE58" s="1399">
        <f>Paramètres!P51</f>
        <v>0</v>
      </c>
      <c r="BF58" s="1398">
        <f>Paramètres!Q51</f>
        <v>0</v>
      </c>
      <c r="BG58" s="1398">
        <f>Paramètres!R51</f>
        <v>0</v>
      </c>
      <c r="BH58" s="1399">
        <f>Paramètres!S51</f>
        <v>0</v>
      </c>
      <c r="BJ58" s="1397">
        <f>Paramètres!K78</f>
        <v>84</v>
      </c>
      <c r="BK58" s="1398">
        <f>Paramètres!L78</f>
        <v>0</v>
      </c>
      <c r="BL58" s="1398">
        <f>Paramètres!M78</f>
        <v>0</v>
      </c>
      <c r="BM58" s="1397">
        <f>Paramètres!N78</f>
        <v>0</v>
      </c>
      <c r="BN58" s="1398">
        <f>Paramètres!O78</f>
        <v>0</v>
      </c>
      <c r="BO58" s="1399">
        <f>Paramètres!P78</f>
        <v>0</v>
      </c>
      <c r="BP58" s="1398">
        <f>Paramètres!Q78</f>
        <v>0</v>
      </c>
      <c r="BQ58" s="1398">
        <f>Paramètres!R78</f>
        <v>0</v>
      </c>
      <c r="BR58" s="1399">
        <f>Paramètres!S78</f>
        <v>0</v>
      </c>
    </row>
    <row r="59" spans="1:70" x14ac:dyDescent="0.2">
      <c r="A59" s="2163"/>
      <c r="B59" s="3044" t="s">
        <v>429</v>
      </c>
      <c r="C59" s="3045"/>
      <c r="D59" s="3045"/>
      <c r="E59" s="3046"/>
      <c r="F59" s="2182"/>
      <c r="G59" s="2183"/>
      <c r="H59" s="2184">
        <f>$AG59*AH59</f>
        <v>236.66666666666669</v>
      </c>
      <c r="I59" s="2185"/>
      <c r="J59" s="2183"/>
      <c r="K59" s="2184">
        <f>$AG59*AI59</f>
        <v>147.91666666666669</v>
      </c>
      <c r="L59" s="2185"/>
      <c r="M59" s="2183"/>
      <c r="N59" s="2186">
        <f>$AG59*AJ59</f>
        <v>272.16666666666669</v>
      </c>
      <c r="O59" s="2171"/>
      <c r="P59" s="2171"/>
      <c r="Q59" s="2171"/>
      <c r="R59" s="2171"/>
      <c r="S59" s="2171"/>
      <c r="T59" s="2171"/>
      <c r="U59" s="2171"/>
      <c r="V59" s="2171"/>
      <c r="W59" s="2171"/>
      <c r="X59" s="2171"/>
      <c r="Y59" s="2171"/>
      <c r="Z59" s="2171"/>
      <c r="AA59"/>
      <c r="AB59"/>
      <c r="AC59"/>
      <c r="AD59"/>
      <c r="AE59" s="1421" t="str">
        <f>B59</f>
        <v>● Toutes vaches de réforme</v>
      </c>
      <c r="AF59" s="1421"/>
      <c r="AG59" s="17">
        <f>(EN_NbMoVaV*EN_NbVaRefV+EN_NbMoVaL*EN_NbVaRefL)/12</f>
        <v>5.916666666666667</v>
      </c>
      <c r="AH59" s="1420">
        <f>Paramètres!K25</f>
        <v>40</v>
      </c>
      <c r="AI59" s="1420">
        <f>Paramètres!K52</f>
        <v>25</v>
      </c>
      <c r="AJ59" s="1420">
        <f>Paramètres!K79</f>
        <v>46</v>
      </c>
      <c r="AK59"/>
      <c r="AL59"/>
      <c r="AM59"/>
      <c r="AN59"/>
      <c r="AP59" s="1397">
        <f>Paramètres!K25</f>
        <v>40</v>
      </c>
      <c r="AQ59" s="1398">
        <f>Paramètres!L25</f>
        <v>0</v>
      </c>
      <c r="AR59" s="1398">
        <f>Paramètres!M25</f>
        <v>0</v>
      </c>
      <c r="AS59" s="1397">
        <f>Paramètres!N25</f>
        <v>0</v>
      </c>
      <c r="AT59" s="1398">
        <f>Paramètres!O25</f>
        <v>0</v>
      </c>
      <c r="AU59" s="1399">
        <f>Paramètres!P25</f>
        <v>0</v>
      </c>
      <c r="AV59" s="1398">
        <f>Paramètres!Q25</f>
        <v>0</v>
      </c>
      <c r="AW59" s="1398">
        <f>Paramètres!R25</f>
        <v>0</v>
      </c>
      <c r="AX59" s="1399">
        <f>Paramètres!S25</f>
        <v>0</v>
      </c>
      <c r="AY59" s="1394"/>
      <c r="AZ59" s="1397">
        <f>Paramètres!K52</f>
        <v>25</v>
      </c>
      <c r="BA59" s="1398">
        <f>Paramètres!L52</f>
        <v>0</v>
      </c>
      <c r="BB59" s="1398">
        <f>Paramètres!M52</f>
        <v>0</v>
      </c>
      <c r="BC59" s="1397">
        <f>Paramètres!N52</f>
        <v>0</v>
      </c>
      <c r="BD59" s="1398">
        <f>Paramètres!O52</f>
        <v>0</v>
      </c>
      <c r="BE59" s="1399">
        <f>Paramètres!P52</f>
        <v>0</v>
      </c>
      <c r="BF59" s="1398">
        <f>Paramètres!Q52</f>
        <v>0</v>
      </c>
      <c r="BG59" s="1398">
        <f>Paramètres!R52</f>
        <v>0</v>
      </c>
      <c r="BH59" s="1399">
        <f>Paramètres!S52</f>
        <v>0</v>
      </c>
      <c r="BJ59" s="1397">
        <f>Paramètres!K79</f>
        <v>46</v>
      </c>
      <c r="BK59" s="1398">
        <f>Paramètres!L79</f>
        <v>0</v>
      </c>
      <c r="BL59" s="1398">
        <f>Paramètres!M79</f>
        <v>0</v>
      </c>
      <c r="BM59" s="1397">
        <f>Paramètres!N79</f>
        <v>0</v>
      </c>
      <c r="BN59" s="1398">
        <f>Paramètres!O79</f>
        <v>0</v>
      </c>
      <c r="BO59" s="1399">
        <f>Paramètres!P79</f>
        <v>0</v>
      </c>
      <c r="BP59" s="1398">
        <f>Paramètres!Q79</f>
        <v>0</v>
      </c>
      <c r="BQ59" s="1398">
        <f>Paramètres!R79</f>
        <v>0</v>
      </c>
      <c r="BR59" s="1399">
        <f>Paramètres!S79</f>
        <v>0</v>
      </c>
    </row>
    <row r="60" spans="1:70" x14ac:dyDescent="0.2">
      <c r="A60" s="2163"/>
      <c r="B60" s="3044" t="s">
        <v>1277</v>
      </c>
      <c r="C60" s="3045"/>
      <c r="D60" s="3045"/>
      <c r="E60" s="3046"/>
      <c r="F60" s="2182"/>
      <c r="G60" s="2183"/>
      <c r="H60" s="2184"/>
      <c r="I60" s="2185"/>
      <c r="J60" s="2183"/>
      <c r="K60" s="2184"/>
      <c r="L60" s="2185"/>
      <c r="M60" s="2183"/>
      <c r="N60" s="2186"/>
      <c r="O60" s="2171"/>
      <c r="P60" s="2171"/>
      <c r="Q60" s="2171"/>
      <c r="R60" s="2171"/>
      <c r="S60" s="2171"/>
      <c r="T60" s="2171"/>
      <c r="U60" s="2171"/>
      <c r="V60" s="2171"/>
      <c r="W60" s="2171"/>
      <c r="X60" s="2171"/>
      <c r="Y60" s="2171"/>
      <c r="Z60" s="2171"/>
      <c r="AA60"/>
      <c r="AB60"/>
      <c r="AC60"/>
      <c r="AD60"/>
      <c r="AE60" s="1421" t="str">
        <f>B60</f>
        <v>● Autres élevages</v>
      </c>
      <c r="AF60" s="1421"/>
      <c r="AG60"/>
      <c r="AH60"/>
      <c r="AI60"/>
      <c r="AJ60"/>
      <c r="AK60"/>
      <c r="AL60"/>
      <c r="AM60"/>
      <c r="AN60"/>
      <c r="AP60" s="27"/>
      <c r="AQ60" s="28"/>
      <c r="AR60" s="28"/>
      <c r="AS60" s="27"/>
      <c r="AT60" s="28"/>
      <c r="AU60" s="29"/>
      <c r="AV60" s="28"/>
      <c r="AW60" s="28"/>
      <c r="AX60" s="29"/>
      <c r="AY60" s="1394"/>
      <c r="AZ60" s="27"/>
      <c r="BA60" s="28"/>
      <c r="BB60" s="28"/>
      <c r="BC60" s="27"/>
      <c r="BD60" s="28"/>
      <c r="BE60" s="29"/>
      <c r="BF60" s="28"/>
      <c r="BG60" s="28"/>
      <c r="BH60" s="29"/>
      <c r="BJ60" s="27"/>
      <c r="BK60" s="28"/>
      <c r="BL60" s="28"/>
      <c r="BM60" s="27"/>
      <c r="BN60" s="28"/>
      <c r="BO60" s="29"/>
      <c r="BP60" s="28"/>
      <c r="BQ60" s="28"/>
      <c r="BR60" s="29"/>
    </row>
    <row r="61" spans="1:70" x14ac:dyDescent="0.2">
      <c r="A61" s="2163"/>
      <c r="B61" s="2260"/>
      <c r="C61" s="3073" t="s">
        <v>199</v>
      </c>
      <c r="D61" s="3073"/>
      <c r="E61" s="3074"/>
      <c r="F61" s="2182"/>
      <c r="G61" s="2183"/>
      <c r="H61" s="2184">
        <f>$AG61*AH61</f>
        <v>0</v>
      </c>
      <c r="I61" s="2185"/>
      <c r="J61" s="2183"/>
      <c r="K61" s="2184">
        <f>$AG61*AI61</f>
        <v>0</v>
      </c>
      <c r="L61" s="2185"/>
      <c r="M61" s="2183"/>
      <c r="N61" s="2186">
        <f>$AG61*AJ61</f>
        <v>0</v>
      </c>
      <c r="O61" s="2171"/>
      <c r="P61" s="2171"/>
      <c r="Q61" s="2171"/>
      <c r="R61" s="2171"/>
      <c r="S61" s="2171"/>
      <c r="T61" s="2171"/>
      <c r="U61" s="2171"/>
      <c r="V61" s="2171"/>
      <c r="W61" s="2171"/>
      <c r="X61" s="2171"/>
      <c r="Y61" s="2171"/>
      <c r="Z61" s="2171"/>
      <c r="AA61"/>
      <c r="AB61"/>
      <c r="AC61"/>
      <c r="AD61"/>
      <c r="AE61"/>
      <c r="AF61" s="1421" t="str">
        <f>C61</f>
        <v>Veaux de boucherie</v>
      </c>
      <c r="AG61" s="17">
        <f>HS_VeauBou</f>
        <v>0</v>
      </c>
      <c r="AH61" s="1420">
        <f>Paramètres!K27</f>
        <v>3.15</v>
      </c>
      <c r="AI61" s="1420">
        <f>Paramètres!K54</f>
        <v>1.5</v>
      </c>
      <c r="AJ61" s="1420">
        <f>Paramètres!K81</f>
        <v>3</v>
      </c>
      <c r="AK61"/>
      <c r="AL61"/>
      <c r="AM61"/>
      <c r="AN61"/>
      <c r="AP61" s="1397">
        <f>Paramètres!K27</f>
        <v>3.15</v>
      </c>
      <c r="AQ61" s="1398">
        <f>Paramètres!L27</f>
        <v>0</v>
      </c>
      <c r="AR61" s="1398">
        <f>Paramètres!M27</f>
        <v>0</v>
      </c>
      <c r="AS61" s="1397">
        <f>Paramètres!N27</f>
        <v>0</v>
      </c>
      <c r="AT61" s="1398">
        <f>Paramètres!O27</f>
        <v>0</v>
      </c>
      <c r="AU61" s="1399">
        <f>Paramètres!P27</f>
        <v>0</v>
      </c>
      <c r="AV61" s="1398">
        <f>Paramètres!Q27</f>
        <v>0</v>
      </c>
      <c r="AW61" s="1398">
        <f>Paramètres!R27</f>
        <v>0</v>
      </c>
      <c r="AX61" s="1399">
        <f>Paramètres!S27</f>
        <v>0</v>
      </c>
      <c r="AY61" s="1394"/>
      <c r="AZ61" s="1397">
        <f>Paramètres!K54</f>
        <v>1.5</v>
      </c>
      <c r="BA61" s="1398">
        <f>Paramètres!L54</f>
        <v>0</v>
      </c>
      <c r="BB61" s="1398">
        <f>Paramètres!M54</f>
        <v>0</v>
      </c>
      <c r="BC61" s="1397">
        <f>Paramètres!N54</f>
        <v>0</v>
      </c>
      <c r="BD61" s="1398">
        <f>Paramètres!O54</f>
        <v>0</v>
      </c>
      <c r="BE61" s="1399">
        <f>Paramètres!P54</f>
        <v>0</v>
      </c>
      <c r="BF61" s="1398">
        <f>Paramètres!Q54</f>
        <v>0</v>
      </c>
      <c r="BG61" s="1398">
        <f>Paramètres!R54</f>
        <v>0</v>
      </c>
      <c r="BH61" s="1399">
        <f>Paramètres!S54</f>
        <v>0</v>
      </c>
      <c r="BJ61" s="1397">
        <f>Paramètres!K81</f>
        <v>3</v>
      </c>
      <c r="BK61" s="1398">
        <f>Paramètres!L81</f>
        <v>0</v>
      </c>
      <c r="BL61" s="1398">
        <f>Paramètres!M81</f>
        <v>0</v>
      </c>
      <c r="BM61" s="1397">
        <f>Paramètres!N81</f>
        <v>0</v>
      </c>
      <c r="BN61" s="1398">
        <f>Paramètres!O81</f>
        <v>0</v>
      </c>
      <c r="BO61" s="1399">
        <f>Paramètres!P81</f>
        <v>0</v>
      </c>
      <c r="BP61" s="1398">
        <f>Paramètres!Q81</f>
        <v>0</v>
      </c>
      <c r="BQ61" s="1398">
        <f>Paramètres!R81</f>
        <v>0</v>
      </c>
      <c r="BR61" s="1399">
        <f>Paramètres!S81</f>
        <v>0</v>
      </c>
    </row>
    <row r="62" spans="1:70" x14ac:dyDescent="0.2">
      <c r="A62" s="2163"/>
      <c r="B62" s="2246"/>
      <c r="C62" s="3062" t="s">
        <v>441</v>
      </c>
      <c r="D62" s="3062"/>
      <c r="E62" s="3063"/>
      <c r="F62" s="2182"/>
      <c r="G62" s="2183"/>
      <c r="H62" s="2184">
        <f>H16</f>
        <v>0</v>
      </c>
      <c r="I62" s="2185"/>
      <c r="J62" s="2183"/>
      <c r="K62" s="2184">
        <f>K16</f>
        <v>0</v>
      </c>
      <c r="L62" s="2185"/>
      <c r="M62" s="2183"/>
      <c r="N62" s="2186">
        <f>N16</f>
        <v>0</v>
      </c>
      <c r="O62" s="2171"/>
      <c r="P62" s="2171"/>
      <c r="Q62" s="2171"/>
      <c r="R62" s="2171"/>
      <c r="S62" s="2171"/>
      <c r="T62" s="2171"/>
      <c r="U62" s="2171"/>
      <c r="V62" s="2171"/>
      <c r="W62" s="2171"/>
      <c r="X62" s="2171"/>
      <c r="Y62" s="2171"/>
      <c r="Z62" s="2171"/>
      <c r="AA62"/>
      <c r="AB62"/>
      <c r="AC62"/>
      <c r="AD62"/>
      <c r="AE62"/>
      <c r="AF62"/>
      <c r="AG62"/>
      <c r="AH62"/>
      <c r="AI62"/>
      <c r="AJ62"/>
      <c r="AK62"/>
      <c r="AL62"/>
      <c r="AM62"/>
      <c r="AN62"/>
      <c r="AP62" s="1400"/>
      <c r="AQ62" s="1401"/>
      <c r="AR62" s="1401"/>
      <c r="AS62" s="1400"/>
      <c r="AT62" s="1401"/>
      <c r="AU62" s="31"/>
      <c r="AV62" s="1401"/>
      <c r="AW62" s="1401"/>
      <c r="AX62" s="31"/>
      <c r="AY62" s="1394"/>
      <c r="AZ62" s="1400"/>
      <c r="BA62" s="1401"/>
      <c r="BB62" s="1401"/>
      <c r="BC62" s="1400"/>
      <c r="BD62" s="1401"/>
      <c r="BE62" s="31"/>
      <c r="BF62" s="1401"/>
      <c r="BG62" s="1401"/>
      <c r="BH62" s="31"/>
      <c r="BJ62" s="1400"/>
      <c r="BK62" s="1401"/>
      <c r="BL62" s="1401"/>
      <c r="BM62" s="1400"/>
      <c r="BN62" s="1401"/>
      <c r="BO62" s="31"/>
      <c r="BP62" s="1401"/>
      <c r="BQ62" s="1401"/>
      <c r="BR62" s="31"/>
    </row>
    <row r="63" spans="1:70" x14ac:dyDescent="0.2">
      <c r="A63" s="2163"/>
      <c r="B63" s="2246"/>
      <c r="C63" s="3062" t="s">
        <v>442</v>
      </c>
      <c r="D63" s="3062"/>
      <c r="E63" s="3063"/>
      <c r="F63" s="2182"/>
      <c r="G63" s="2183"/>
      <c r="H63" s="2184">
        <f>H17</f>
        <v>0</v>
      </c>
      <c r="I63" s="2185"/>
      <c r="J63" s="2183"/>
      <c r="K63" s="2184">
        <f>K17</f>
        <v>0</v>
      </c>
      <c r="L63" s="2185"/>
      <c r="M63" s="2183"/>
      <c r="N63" s="2186">
        <f>N17</f>
        <v>0</v>
      </c>
      <c r="O63" s="2171"/>
      <c r="P63" s="2171"/>
      <c r="Q63" s="2171"/>
      <c r="R63" s="2171"/>
      <c r="S63" s="2171"/>
      <c r="T63" s="2171"/>
      <c r="U63" s="2171"/>
      <c r="V63" s="2171"/>
      <c r="W63" s="2171"/>
      <c r="X63" s="2171"/>
      <c r="Y63" s="2171"/>
      <c r="Z63" s="2171"/>
      <c r="AA63"/>
      <c r="AB63"/>
      <c r="AC63"/>
      <c r="AD63"/>
      <c r="AE63"/>
      <c r="AF63"/>
      <c r="AG63"/>
      <c r="AH63"/>
      <c r="AI63"/>
      <c r="AJ63"/>
      <c r="AK63"/>
      <c r="AL63"/>
      <c r="AM63"/>
      <c r="AN63"/>
      <c r="AP63" s="1400"/>
      <c r="AQ63" s="1401"/>
      <c r="AR63" s="1401"/>
      <c r="AS63" s="1400"/>
      <c r="AT63" s="1401"/>
      <c r="AU63" s="31"/>
      <c r="AV63" s="1401"/>
      <c r="AW63" s="1401"/>
      <c r="AX63" s="31"/>
      <c r="AY63" s="1394"/>
      <c r="AZ63" s="1400"/>
      <c r="BA63" s="1401"/>
      <c r="BB63" s="1401"/>
      <c r="BC63" s="1400"/>
      <c r="BD63" s="1401"/>
      <c r="BE63" s="31"/>
      <c r="BF63" s="1401"/>
      <c r="BG63" s="1401"/>
      <c r="BH63" s="31"/>
      <c r="BJ63" s="1400"/>
      <c r="BK63" s="1401"/>
      <c r="BL63" s="1401"/>
      <c r="BM63" s="1400"/>
      <c r="BN63" s="1401"/>
      <c r="BO63" s="31"/>
      <c r="BP63" s="1401"/>
      <c r="BQ63" s="1401"/>
      <c r="BR63" s="31"/>
    </row>
    <row r="64" spans="1:70" x14ac:dyDescent="0.2">
      <c r="A64" s="2163"/>
      <c r="B64" s="2246"/>
      <c r="C64" s="3064" t="s">
        <v>443</v>
      </c>
      <c r="D64" s="3064"/>
      <c r="E64" s="3065"/>
      <c r="F64" s="2182"/>
      <c r="G64" s="2183"/>
      <c r="H64" s="2184">
        <f>H18</f>
        <v>0</v>
      </c>
      <c r="I64" s="2185"/>
      <c r="J64" s="2183"/>
      <c r="K64" s="2184">
        <f>K18</f>
        <v>0</v>
      </c>
      <c r="L64" s="2185"/>
      <c r="M64" s="2183"/>
      <c r="N64" s="2186">
        <f>N18</f>
        <v>0</v>
      </c>
      <c r="O64" s="2171"/>
      <c r="P64" s="2171"/>
      <c r="Q64" s="2171"/>
      <c r="R64" s="2171"/>
      <c r="S64" s="2171"/>
      <c r="T64" s="2171"/>
      <c r="U64" s="2171"/>
      <c r="V64" s="2171"/>
      <c r="W64" s="2171"/>
      <c r="X64" s="2171"/>
      <c r="Y64" s="2171"/>
      <c r="Z64" s="2171"/>
      <c r="AA64"/>
      <c r="AB64"/>
      <c r="AC64"/>
      <c r="AD64"/>
      <c r="AE64"/>
      <c r="AF64"/>
      <c r="AG64"/>
      <c r="AH64"/>
      <c r="AI64"/>
      <c r="AJ64"/>
      <c r="AK64"/>
      <c r="AL64"/>
      <c r="AM64"/>
      <c r="AN64"/>
      <c r="AP64" s="1402"/>
      <c r="AQ64" s="1403"/>
      <c r="AR64" s="1403"/>
      <c r="AS64" s="1402"/>
      <c r="AT64" s="1403"/>
      <c r="AU64" s="1404"/>
      <c r="AV64" s="1403"/>
      <c r="AW64" s="1403"/>
      <c r="AX64" s="1404"/>
      <c r="AY64" s="1394"/>
      <c r="AZ64" s="1402"/>
      <c r="BA64" s="1403"/>
      <c r="BB64" s="1403"/>
      <c r="BC64" s="1402"/>
      <c r="BD64" s="1403"/>
      <c r="BE64" s="1404"/>
      <c r="BF64" s="1403"/>
      <c r="BG64" s="1403"/>
      <c r="BH64" s="1404"/>
      <c r="BJ64" s="1402"/>
      <c r="BK64" s="1403"/>
      <c r="BL64" s="1403"/>
      <c r="BM64" s="1402"/>
      <c r="BN64" s="1403"/>
      <c r="BO64" s="1404"/>
      <c r="BP64" s="1403"/>
      <c r="BQ64" s="1403"/>
      <c r="BR64" s="1404"/>
    </row>
    <row r="65" spans="1:40" x14ac:dyDescent="0.2">
      <c r="A65" s="2163"/>
      <c r="B65" s="2261"/>
      <c r="C65" s="3066" t="s">
        <v>505</v>
      </c>
      <c r="D65" s="3066"/>
      <c r="E65" s="3067"/>
      <c r="F65" s="2209"/>
      <c r="G65" s="2210"/>
      <c r="H65" s="2211">
        <f ca="1">SUM(H41:H59)</f>
        <v>9457.1666666666661</v>
      </c>
      <c r="I65" s="2212"/>
      <c r="J65" s="2210"/>
      <c r="K65" s="2211">
        <f ca="1">SUM(K41:K59)</f>
        <v>4140.416666666667</v>
      </c>
      <c r="L65" s="2212"/>
      <c r="M65" s="2210"/>
      <c r="N65" s="2213">
        <f ca="1">SUM(N41:N59)</f>
        <v>13210.166666666666</v>
      </c>
      <c r="O65" s="2171"/>
      <c r="P65" s="2171"/>
      <c r="Q65" s="2171"/>
      <c r="R65" s="2171"/>
      <c r="S65" s="2171"/>
      <c r="T65" s="2171"/>
      <c r="U65" s="2171"/>
      <c r="V65" s="2171"/>
      <c r="W65" s="2171"/>
      <c r="X65" s="2171"/>
      <c r="Y65" s="2171"/>
      <c r="Z65" s="2171"/>
      <c r="AA65"/>
      <c r="AB65"/>
      <c r="AC65"/>
      <c r="AD65"/>
      <c r="AE65"/>
      <c r="AF65"/>
      <c r="AG65"/>
      <c r="AH65"/>
      <c r="AI65"/>
      <c r="AJ65"/>
      <c r="AK65"/>
      <c r="AL65"/>
      <c r="AM65"/>
      <c r="AN65"/>
    </row>
    <row r="66" spans="1:40" x14ac:dyDescent="0.2">
      <c r="A66" s="2163"/>
      <c r="B66" s="2246"/>
      <c r="C66" s="3056" t="s">
        <v>506</v>
      </c>
      <c r="D66" s="3056"/>
      <c r="E66" s="3057"/>
      <c r="F66" s="2190"/>
      <c r="G66" s="2191"/>
      <c r="H66" s="2192">
        <f>SUM(H61:H64)</f>
        <v>0</v>
      </c>
      <c r="I66" s="2193"/>
      <c r="J66" s="2191"/>
      <c r="K66" s="2192">
        <f>SUM(K61:K64)</f>
        <v>0</v>
      </c>
      <c r="L66" s="2193"/>
      <c r="M66" s="2191"/>
      <c r="N66" s="2194">
        <f>SUM(N61:N64)</f>
        <v>0</v>
      </c>
      <c r="O66" s="2171"/>
      <c r="P66" s="2171"/>
      <c r="Q66" s="2171"/>
      <c r="R66" s="2171"/>
      <c r="S66" s="2171"/>
      <c r="T66" s="2171"/>
      <c r="U66" s="2171"/>
      <c r="V66" s="2171"/>
      <c r="W66" s="2171"/>
      <c r="X66" s="2171"/>
      <c r="Y66" s="2171"/>
      <c r="Z66" s="2171"/>
      <c r="AA66"/>
      <c r="AB66"/>
      <c r="AC66"/>
      <c r="AD66"/>
      <c r="AE66"/>
      <c r="AF66"/>
      <c r="AG66"/>
      <c r="AH66"/>
      <c r="AI66"/>
      <c r="AJ66"/>
      <c r="AK66"/>
      <c r="AL66"/>
      <c r="AM66"/>
      <c r="AN66"/>
    </row>
    <row r="67" spans="1:40" ht="13.5" thickBot="1" x14ac:dyDescent="0.25">
      <c r="A67" s="2163"/>
      <c r="B67" s="2261"/>
      <c r="C67" s="3054" t="s">
        <v>445</v>
      </c>
      <c r="D67" s="3054"/>
      <c r="E67" s="3055"/>
      <c r="F67" s="2209"/>
      <c r="G67" s="2210"/>
      <c r="H67" s="2211">
        <f ca="1">SUM(H41:H64)</f>
        <v>9457.1666666666661</v>
      </c>
      <c r="I67" s="2212"/>
      <c r="J67" s="2210"/>
      <c r="K67" s="2211">
        <f ca="1">SUM(K41:K64)</f>
        <v>4140.416666666667</v>
      </c>
      <c r="L67" s="2262"/>
      <c r="M67" s="2263"/>
      <c r="N67" s="2264">
        <f ca="1">SUM(N41:N64)</f>
        <v>13210.166666666666</v>
      </c>
      <c r="O67" s="2171"/>
      <c r="P67" s="2171"/>
      <c r="Q67" s="2171"/>
      <c r="R67" s="2171"/>
      <c r="S67" s="2171"/>
      <c r="T67" s="2171"/>
      <c r="U67" s="2171"/>
      <c r="V67" s="2171"/>
      <c r="W67" s="2171"/>
      <c r="X67" s="2171"/>
      <c r="Y67" s="2171"/>
      <c r="Z67" s="2171"/>
      <c r="AA67"/>
      <c r="AB67"/>
      <c r="AC67"/>
      <c r="AD67"/>
      <c r="AE67"/>
      <c r="AF67"/>
      <c r="AG67"/>
      <c r="AH67"/>
      <c r="AI67"/>
      <c r="AJ67"/>
      <c r="AK67"/>
      <c r="AL67"/>
      <c r="AM67"/>
      <c r="AN67"/>
    </row>
    <row r="68" spans="1:40" ht="29.25" thickTop="1" x14ac:dyDescent="0.2">
      <c r="A68" s="2163"/>
      <c r="B68" s="2265"/>
      <c r="C68" s="2266" t="s">
        <v>156</v>
      </c>
      <c r="D68" s="3039" t="s">
        <v>992</v>
      </c>
      <c r="E68" s="3040"/>
      <c r="F68" s="2216" t="s">
        <v>1278</v>
      </c>
      <c r="G68" s="2217"/>
      <c r="H68" s="2218" t="s">
        <v>244</v>
      </c>
      <c r="I68" s="2216" t="s">
        <v>1278</v>
      </c>
      <c r="J68" s="2217"/>
      <c r="K68" s="2219" t="s">
        <v>244</v>
      </c>
      <c r="L68" s="2216" t="s">
        <v>1278</v>
      </c>
      <c r="M68" s="2217"/>
      <c r="N68" s="2220" t="s">
        <v>244</v>
      </c>
      <c r="O68" s="2171"/>
      <c r="P68" s="2171"/>
      <c r="Q68" s="2171"/>
      <c r="R68" s="2171"/>
      <c r="S68" s="2171"/>
      <c r="T68" s="2171"/>
      <c r="U68" s="2171"/>
      <c r="V68" s="2171"/>
      <c r="W68" s="2171"/>
      <c r="X68" s="2171"/>
      <c r="Y68" s="2171"/>
      <c r="Z68" s="2171"/>
      <c r="AA68"/>
      <c r="AB68"/>
      <c r="AC68"/>
      <c r="AD68"/>
      <c r="AE68"/>
      <c r="AF68"/>
      <c r="AG68"/>
      <c r="AH68"/>
      <c r="AI68"/>
      <c r="AJ68"/>
      <c r="AK68"/>
      <c r="AL68"/>
      <c r="AM68"/>
      <c r="AN68"/>
    </row>
    <row r="69" spans="1:40" s="1586" customFormat="1" ht="15.75" x14ac:dyDescent="0.2">
      <c r="A69" s="2163"/>
      <c r="B69" s="2229" t="s">
        <v>446</v>
      </c>
      <c r="C69" s="2267">
        <f>SA_SAUtotale</f>
        <v>95</v>
      </c>
      <c r="D69" s="3060" t="str">
        <f>"● "&amp;B69</f>
        <v>● SAU</v>
      </c>
      <c r="E69" s="3061"/>
      <c r="F69" s="2268">
        <f>SUM(H$61:H$64)/$C69</f>
        <v>0</v>
      </c>
      <c r="G69" s="2269"/>
      <c r="H69" s="2270">
        <f ca="1">H$67/$C69</f>
        <v>99.54912280701754</v>
      </c>
      <c r="I69" s="2271">
        <f>SUM(K$61:K$64)/$C69</f>
        <v>0</v>
      </c>
      <c r="J69" s="2269"/>
      <c r="K69" s="2272">
        <f ca="1">K$67/$C69</f>
        <v>43.583333333333336</v>
      </c>
      <c r="L69" s="2268">
        <f>SUM(N$61:N$64)/$C69</f>
        <v>0</v>
      </c>
      <c r="M69" s="2269"/>
      <c r="N69" s="2273">
        <f ca="1">N$67/$C69</f>
        <v>139.05438596491229</v>
      </c>
      <c r="O69" s="2171"/>
      <c r="P69" s="2171"/>
      <c r="Q69" s="2171"/>
      <c r="R69" s="2171"/>
      <c r="S69" s="2171"/>
      <c r="T69" s="2171"/>
      <c r="U69" s="2171"/>
      <c r="V69" s="2171"/>
      <c r="W69" s="2171"/>
      <c r="X69" s="2171"/>
      <c r="Y69" s="2171"/>
      <c r="Z69" s="2171"/>
      <c r="AA69"/>
      <c r="AB69"/>
      <c r="AC69"/>
      <c r="AD69"/>
      <c r="AE69"/>
      <c r="AF69"/>
      <c r="AG69"/>
      <c r="AH69"/>
      <c r="AI69"/>
      <c r="AJ69"/>
      <c r="AK69"/>
      <c r="AL69"/>
      <c r="AM69"/>
      <c r="AN69"/>
    </row>
    <row r="70" spans="1:40" ht="15.75" x14ac:dyDescent="0.2">
      <c r="A70" s="2163"/>
      <c r="B70" s="2221" t="s">
        <v>447</v>
      </c>
      <c r="C70" s="2267">
        <f>SA_SAUnette</f>
        <v>90</v>
      </c>
      <c r="D70" s="3060" t="str">
        <f>"● "&amp;B70</f>
        <v>● SAU nette</v>
      </c>
      <c r="E70" s="3061"/>
      <c r="F70" s="2268">
        <f>SUM(H$61:H$64)/$C70</f>
        <v>0</v>
      </c>
      <c r="G70" s="2269"/>
      <c r="H70" s="2270">
        <f ca="1">H$67/$C70</f>
        <v>105.07962962962962</v>
      </c>
      <c r="I70" s="2271">
        <f>SUM(K$61:K$64)/$C70</f>
        <v>0</v>
      </c>
      <c r="J70" s="2269"/>
      <c r="K70" s="2272">
        <f ca="1">K$67/$C70</f>
        <v>46.004629629629633</v>
      </c>
      <c r="L70" s="2268">
        <f>SUM(N$61:N$64)/$C70</f>
        <v>0</v>
      </c>
      <c r="M70" s="2269"/>
      <c r="N70" s="2273">
        <f ca="1">N$67/$C70</f>
        <v>146.77962962962962</v>
      </c>
      <c r="O70" s="2171"/>
      <c r="P70" s="2171"/>
      <c r="Q70" s="2171"/>
      <c r="R70" s="2171"/>
      <c r="S70" s="2171"/>
      <c r="T70" s="2171"/>
      <c r="U70" s="2171"/>
      <c r="V70" s="2171"/>
      <c r="W70" s="2171"/>
      <c r="X70" s="2171"/>
      <c r="Y70" s="2171"/>
      <c r="Z70" s="2171"/>
      <c r="AA70"/>
      <c r="AB70"/>
      <c r="AC70"/>
      <c r="AD70"/>
      <c r="AE70"/>
      <c r="AF70"/>
      <c r="AG70"/>
      <c r="AH70"/>
      <c r="AI70"/>
      <c r="AJ70"/>
      <c r="AK70"/>
      <c r="AL70"/>
      <c r="AM70"/>
      <c r="AN70"/>
    </row>
    <row r="71" spans="1:40" ht="15.75" x14ac:dyDescent="0.2">
      <c r="A71" s="2163"/>
      <c r="B71" s="2274" t="s">
        <v>1027</v>
      </c>
      <c r="C71" s="2267">
        <f>SA_SPE</f>
        <v>74</v>
      </c>
      <c r="D71" s="3060" t="str">
        <f>"● "&amp;B71</f>
        <v>● SPE</v>
      </c>
      <c r="E71" s="3061"/>
      <c r="F71" s="2268">
        <f>SUM(H$61:H$64)/$C71</f>
        <v>0</v>
      </c>
      <c r="G71" s="2269"/>
      <c r="H71" s="2270">
        <f ca="1">H$67/$C71</f>
        <v>127.79954954954954</v>
      </c>
      <c r="I71" s="2271">
        <f>SUM(K$61:K$64)/$C71</f>
        <v>0</v>
      </c>
      <c r="J71" s="2269"/>
      <c r="K71" s="2272">
        <f ca="1">K$67/$C71</f>
        <v>55.951576576576578</v>
      </c>
      <c r="L71" s="2268">
        <f>SUM(N$61:N$64)/$C71</f>
        <v>0</v>
      </c>
      <c r="M71" s="2269"/>
      <c r="N71" s="2273">
        <f ca="1">N$67/$C71</f>
        <v>178.51576576576576</v>
      </c>
      <c r="O71" s="2171"/>
      <c r="P71" s="2171"/>
      <c r="Q71" s="2171"/>
      <c r="R71" s="2171"/>
      <c r="S71" s="2171"/>
      <c r="T71" s="2171"/>
      <c r="U71" s="2171"/>
      <c r="V71" s="2171"/>
      <c r="W71" s="2171"/>
      <c r="X71" s="2171"/>
      <c r="Y71" s="2171"/>
      <c r="Z71" s="2171"/>
      <c r="AA71"/>
      <c r="AB71"/>
      <c r="AC71"/>
      <c r="AD71"/>
      <c r="AE71"/>
      <c r="AF71"/>
      <c r="AG71"/>
      <c r="AH71"/>
      <c r="AI71"/>
      <c r="AJ71"/>
      <c r="AK71"/>
      <c r="AL71"/>
      <c r="AM71"/>
      <c r="AN71"/>
    </row>
    <row r="72" spans="1:40" ht="15.75" x14ac:dyDescent="0.2">
      <c r="A72" s="2163"/>
      <c r="B72" s="2221" t="s">
        <v>1031</v>
      </c>
      <c r="C72" s="2267">
        <f>SA_SAMO</f>
        <v>70</v>
      </c>
      <c r="D72" s="3060" t="str">
        <f>"● "&amp;B72</f>
        <v>● SAMO ou SRD</v>
      </c>
      <c r="E72" s="3061"/>
      <c r="F72" s="2268">
        <f>SUM(H$61:H$64)/$C72</f>
        <v>0</v>
      </c>
      <c r="G72" s="2269"/>
      <c r="H72" s="2270">
        <f ca="1">H$67/$C72</f>
        <v>135.10238095238094</v>
      </c>
      <c r="I72" s="2271">
        <f>SUM(K$61:K$64)/$C72</f>
        <v>0</v>
      </c>
      <c r="J72" s="2269"/>
      <c r="K72" s="2272">
        <f ca="1">K$67/$C72</f>
        <v>59.148809523809526</v>
      </c>
      <c r="L72" s="2268">
        <f>SUM(N$61:N$64)/$C72</f>
        <v>0</v>
      </c>
      <c r="M72" s="2269"/>
      <c r="N72" s="2273">
        <f ca="1">N$67/$C72</f>
        <v>188.71666666666667</v>
      </c>
      <c r="O72" s="2171"/>
      <c r="P72" s="2171"/>
      <c r="Q72" s="2171"/>
      <c r="R72" s="2171"/>
      <c r="S72" s="2171"/>
      <c r="T72" s="2171"/>
      <c r="U72" s="2171"/>
      <c r="V72" s="2171"/>
      <c r="W72" s="2171"/>
      <c r="X72" s="2171"/>
      <c r="Y72" s="2171"/>
      <c r="Z72" s="2171"/>
      <c r="AA72"/>
      <c r="AB72"/>
      <c r="AC72"/>
      <c r="AD72"/>
      <c r="AE72"/>
      <c r="AF72"/>
      <c r="AG72"/>
      <c r="AH72"/>
      <c r="AI72"/>
      <c r="AJ72"/>
      <c r="AK72"/>
      <c r="AL72"/>
      <c r="AM72"/>
      <c r="AN72"/>
    </row>
    <row r="73" spans="1:40" ht="16.5" thickBot="1" x14ac:dyDescent="0.25">
      <c r="A73" s="2163"/>
      <c r="B73" s="2275" t="s">
        <v>448</v>
      </c>
      <c r="C73" s="2276">
        <f>SA_SFP</f>
        <v>80</v>
      </c>
      <c r="D73" s="3058" t="str">
        <f>"● "&amp;B73&amp;" Bovins"</f>
        <v>● SFP Bovins</v>
      </c>
      <c r="E73" s="3059"/>
      <c r="F73" s="2277"/>
      <c r="G73" s="2278"/>
      <c r="H73" s="2278">
        <f ca="1">H65/$C73</f>
        <v>118.21458333333332</v>
      </c>
      <c r="I73" s="2279"/>
      <c r="J73" s="2278"/>
      <c r="K73" s="2280">
        <f ca="1">K65/$C73</f>
        <v>51.755208333333336</v>
      </c>
      <c r="L73" s="2278"/>
      <c r="M73" s="2278"/>
      <c r="N73" s="2281">
        <f ca="1">N65/$C73</f>
        <v>165.12708333333333</v>
      </c>
      <c r="O73" s="2171"/>
      <c r="P73" s="2171"/>
      <c r="Q73" s="2171"/>
      <c r="R73" s="2171"/>
      <c r="S73" s="2171"/>
      <c r="T73" s="2171"/>
      <c r="U73" s="2171"/>
      <c r="V73" s="2171"/>
      <c r="W73" s="2171"/>
      <c r="X73" s="2171"/>
      <c r="Y73" s="2171"/>
      <c r="Z73" s="2171"/>
      <c r="AA73"/>
      <c r="AB73"/>
      <c r="AC73"/>
      <c r="AD73"/>
      <c r="AE73"/>
      <c r="AF73"/>
      <c r="AG73"/>
      <c r="AH73"/>
      <c r="AI73"/>
      <c r="AJ73"/>
      <c r="AK73"/>
      <c r="AL73"/>
      <c r="AM73"/>
      <c r="AN73"/>
    </row>
    <row r="74" spans="1:40" ht="39.75" customHeight="1" thickTop="1" thickBot="1" x14ac:dyDescent="0.25">
      <c r="A74" s="2170"/>
      <c r="B74" s="3051" t="s">
        <v>2461</v>
      </c>
      <c r="C74" s="3052"/>
      <c r="D74" s="3052"/>
      <c r="E74" s="3052"/>
      <c r="F74" s="3052"/>
      <c r="G74" s="3052"/>
      <c r="H74" s="3052"/>
      <c r="I74" s="3052"/>
      <c r="J74" s="3052"/>
      <c r="K74" s="3052"/>
      <c r="L74" s="3052"/>
      <c r="M74" s="3052"/>
      <c r="N74" s="3053"/>
      <c r="O74" s="2171"/>
      <c r="P74" s="2171"/>
      <c r="Q74" s="2171"/>
      <c r="R74" s="2171"/>
      <c r="S74" s="2171"/>
      <c r="T74" s="2171"/>
      <c r="U74" s="2171"/>
      <c r="V74" s="2171"/>
      <c r="W74" s="2171"/>
      <c r="X74" s="2171"/>
      <c r="Y74" s="2171"/>
      <c r="Z74" s="2171"/>
      <c r="AA74"/>
      <c r="AB74"/>
      <c r="AC74"/>
      <c r="AD74"/>
      <c r="AE74"/>
      <c r="AF74"/>
      <c r="AG74"/>
      <c r="AH74"/>
      <c r="AI74"/>
      <c r="AJ74"/>
      <c r="AK74"/>
      <c r="AL74"/>
      <c r="AM74"/>
      <c r="AN74"/>
    </row>
    <row r="75" spans="1:40" ht="13.5" thickTop="1" x14ac:dyDescent="0.2">
      <c r="A75" s="2170"/>
      <c r="B75" s="2170"/>
      <c r="C75" s="2170"/>
      <c r="D75" s="2170"/>
      <c r="E75" s="2170"/>
      <c r="F75" s="2170"/>
      <c r="G75" s="2170"/>
      <c r="H75" s="2170"/>
      <c r="I75" s="2170"/>
      <c r="J75" s="2170"/>
      <c r="K75" s="2170"/>
      <c r="L75" s="2170"/>
      <c r="M75" s="2170"/>
      <c r="N75" s="2170"/>
      <c r="O75" s="2171"/>
      <c r="P75" s="2171"/>
      <c r="Q75" s="2171"/>
      <c r="R75" s="2171"/>
      <c r="S75" s="2171"/>
      <c r="T75" s="2171"/>
      <c r="U75" s="2171"/>
      <c r="V75" s="2171"/>
      <c r="W75" s="2171"/>
      <c r="X75" s="2171"/>
      <c r="Y75" s="2171"/>
      <c r="Z75" s="2171"/>
      <c r="AA75"/>
      <c r="AB75"/>
      <c r="AC75"/>
      <c r="AD75"/>
      <c r="AE75"/>
      <c r="AF75"/>
      <c r="AG75"/>
      <c r="AH75"/>
      <c r="AI75"/>
      <c r="AJ75"/>
      <c r="AK75"/>
      <c r="AL75"/>
      <c r="AM75"/>
      <c r="AN75"/>
    </row>
    <row r="76" spans="1:40" x14ac:dyDescent="0.2">
      <c r="A76" s="2170"/>
      <c r="B76" s="2170"/>
      <c r="C76" s="2170"/>
      <c r="D76" s="2170"/>
      <c r="E76" s="2170"/>
      <c r="F76" s="2170"/>
      <c r="G76" s="2170"/>
      <c r="H76" s="2170"/>
      <c r="I76" s="2170"/>
      <c r="J76" s="2170"/>
      <c r="K76" s="2170"/>
      <c r="L76" s="2170"/>
      <c r="M76" s="2170"/>
      <c r="N76" s="2170"/>
      <c r="O76" s="2171"/>
      <c r="P76" s="2171"/>
      <c r="Q76" s="2171"/>
      <c r="R76" s="2171"/>
      <c r="S76" s="2171"/>
      <c r="T76" s="2171"/>
      <c r="U76" s="2171"/>
      <c r="V76" s="2171"/>
      <c r="W76" s="2171"/>
      <c r="X76" s="2171"/>
      <c r="Y76" s="2171"/>
      <c r="Z76" s="2171"/>
      <c r="AA76"/>
      <c r="AB76"/>
      <c r="AC76"/>
      <c r="AD76"/>
      <c r="AE76"/>
      <c r="AF76"/>
      <c r="AG76"/>
      <c r="AH76"/>
      <c r="AI76"/>
      <c r="AJ76"/>
      <c r="AK76"/>
      <c r="AL76"/>
      <c r="AM76"/>
      <c r="AN76"/>
    </row>
    <row r="77" spans="1:40" x14ac:dyDescent="0.2">
      <c r="A77" s="2170"/>
      <c r="B77" s="2170"/>
      <c r="C77" s="2170"/>
      <c r="D77" s="2170"/>
      <c r="E77" s="2170"/>
      <c r="F77" s="2170"/>
      <c r="G77" s="2170"/>
      <c r="H77" s="2170"/>
      <c r="I77" s="2170"/>
      <c r="J77" s="2170"/>
      <c r="K77" s="2170"/>
      <c r="L77" s="2170"/>
      <c r="M77" s="2170"/>
      <c r="N77" s="2170"/>
      <c r="O77" s="2171"/>
      <c r="P77" s="2171"/>
      <c r="Q77" s="2171"/>
      <c r="R77" s="2171"/>
      <c r="S77" s="2171"/>
      <c r="T77" s="2171"/>
      <c r="U77" s="2171"/>
      <c r="V77" s="2171"/>
      <c r="W77" s="2171"/>
      <c r="X77" s="2171"/>
      <c r="Y77" s="2171"/>
      <c r="Z77" s="2171"/>
      <c r="AA77"/>
      <c r="AB77"/>
      <c r="AC77"/>
      <c r="AD77"/>
      <c r="AE77"/>
      <c r="AF77"/>
      <c r="AG77"/>
      <c r="AH77"/>
      <c r="AI77"/>
      <c r="AJ77"/>
      <c r="AK77"/>
      <c r="AL77"/>
      <c r="AM77"/>
      <c r="AN77"/>
    </row>
    <row r="78" spans="1:40" x14ac:dyDescent="0.2">
      <c r="A78" s="2170"/>
      <c r="B78" s="2170"/>
      <c r="C78" s="2170"/>
      <c r="D78" s="2170"/>
      <c r="E78" s="2170"/>
      <c r="F78" s="2170"/>
      <c r="G78" s="2170"/>
      <c r="H78" s="2170"/>
      <c r="I78" s="2170"/>
      <c r="J78" s="2170"/>
      <c r="K78" s="2170"/>
      <c r="L78" s="2170"/>
      <c r="M78" s="2170"/>
      <c r="N78" s="2170"/>
      <c r="O78" s="2171"/>
      <c r="P78" s="2171"/>
      <c r="Q78" s="2171"/>
      <c r="R78" s="2171"/>
      <c r="S78" s="2171"/>
      <c r="T78" s="2171"/>
      <c r="U78" s="2171"/>
      <c r="V78" s="2171"/>
      <c r="W78" s="2171"/>
      <c r="X78" s="2171"/>
      <c r="Y78" s="2171"/>
      <c r="Z78" s="2171"/>
      <c r="AA78"/>
      <c r="AB78"/>
      <c r="AC78"/>
      <c r="AD78"/>
      <c r="AE78"/>
      <c r="AF78"/>
      <c r="AG78"/>
      <c r="AH78"/>
      <c r="AI78"/>
      <c r="AJ78"/>
      <c r="AK78"/>
      <c r="AL78"/>
      <c r="AM78"/>
      <c r="AN78"/>
    </row>
    <row r="79" spans="1:40" x14ac:dyDescent="0.2">
      <c r="A79"/>
      <c r="AA79"/>
      <c r="AB79"/>
      <c r="AC79"/>
      <c r="AD79"/>
      <c r="AE79"/>
      <c r="AF79"/>
      <c r="AG79"/>
      <c r="AH79"/>
      <c r="AI79"/>
      <c r="AJ79"/>
      <c r="AK79"/>
      <c r="AL79"/>
      <c r="AM79"/>
      <c r="AN79"/>
    </row>
    <row r="80" spans="1:40" x14ac:dyDescent="0.2">
      <c r="AA80"/>
      <c r="AB80"/>
      <c r="AC80"/>
      <c r="AD80"/>
      <c r="AE80"/>
      <c r="AF80"/>
      <c r="AG80"/>
      <c r="AH80"/>
      <c r="AI80"/>
      <c r="AJ80"/>
      <c r="AK80"/>
      <c r="AL80"/>
      <c r="AM80"/>
      <c r="AN80"/>
    </row>
    <row r="81" spans="27:40" x14ac:dyDescent="0.2">
      <c r="AA81"/>
      <c r="AB81"/>
      <c r="AC81"/>
      <c r="AD81"/>
      <c r="AE81"/>
      <c r="AF81"/>
      <c r="AG81"/>
      <c r="AH81"/>
      <c r="AI81"/>
      <c r="AJ81"/>
      <c r="AK81"/>
      <c r="AL81"/>
      <c r="AM81"/>
      <c r="AN81"/>
    </row>
    <row r="82" spans="27:40" x14ac:dyDescent="0.2">
      <c r="AA82"/>
      <c r="AB82"/>
      <c r="AC82"/>
      <c r="AD82"/>
      <c r="AE82"/>
      <c r="AF82"/>
      <c r="AG82"/>
      <c r="AH82"/>
      <c r="AI82"/>
      <c r="AJ82"/>
      <c r="AK82"/>
      <c r="AL82"/>
      <c r="AM82"/>
      <c r="AN82"/>
    </row>
    <row r="83" spans="27:40" x14ac:dyDescent="0.2">
      <c r="AA83"/>
      <c r="AB83"/>
      <c r="AC83"/>
      <c r="AD83"/>
      <c r="AE83"/>
      <c r="AF83"/>
      <c r="AG83"/>
      <c r="AH83"/>
      <c r="AI83"/>
      <c r="AJ83"/>
      <c r="AK83"/>
      <c r="AL83"/>
      <c r="AM83"/>
      <c r="AN83"/>
    </row>
    <row r="84" spans="27:40" x14ac:dyDescent="0.2">
      <c r="AA84"/>
      <c r="AB84"/>
      <c r="AC84"/>
      <c r="AD84"/>
      <c r="AE84"/>
      <c r="AF84"/>
      <c r="AG84"/>
      <c r="AH84"/>
      <c r="AI84"/>
      <c r="AJ84"/>
      <c r="AK84"/>
      <c r="AL84"/>
      <c r="AM84"/>
      <c r="AN84"/>
    </row>
    <row r="85" spans="27:40" x14ac:dyDescent="0.2">
      <c r="AA85"/>
      <c r="AB85"/>
      <c r="AC85"/>
      <c r="AD85"/>
      <c r="AE85"/>
      <c r="AF85"/>
      <c r="AG85"/>
      <c r="AH85"/>
      <c r="AI85"/>
      <c r="AJ85"/>
      <c r="AK85"/>
      <c r="AL85"/>
      <c r="AM85"/>
      <c r="AN85"/>
    </row>
    <row r="86" spans="27:40" x14ac:dyDescent="0.2">
      <c r="AA86"/>
      <c r="AB86"/>
      <c r="AC86"/>
      <c r="AD86"/>
      <c r="AE86"/>
      <c r="AF86"/>
      <c r="AG86"/>
      <c r="AH86"/>
      <c r="AI86"/>
      <c r="AJ86"/>
      <c r="AK86"/>
      <c r="AL86"/>
      <c r="AM86"/>
      <c r="AN86"/>
    </row>
    <row r="87" spans="27:40" x14ac:dyDescent="0.2">
      <c r="AA87"/>
      <c r="AB87"/>
      <c r="AC87"/>
      <c r="AD87"/>
      <c r="AE87"/>
      <c r="AF87"/>
      <c r="AG87"/>
      <c r="AH87"/>
      <c r="AI87"/>
      <c r="AJ87"/>
      <c r="AK87"/>
      <c r="AL87"/>
      <c r="AM87"/>
      <c r="AN87"/>
    </row>
    <row r="88" spans="27:40" x14ac:dyDescent="0.2">
      <c r="AA88"/>
      <c r="AB88"/>
      <c r="AC88"/>
      <c r="AD88"/>
      <c r="AE88"/>
      <c r="AF88"/>
      <c r="AG88"/>
      <c r="AH88"/>
      <c r="AI88"/>
      <c r="AJ88"/>
      <c r="AK88"/>
      <c r="AL88"/>
      <c r="AM88"/>
      <c r="AN88"/>
    </row>
    <row r="89" spans="27:40" x14ac:dyDescent="0.2">
      <c r="AA89"/>
      <c r="AB89"/>
      <c r="AC89"/>
      <c r="AD89"/>
      <c r="AE89"/>
      <c r="AF89"/>
      <c r="AG89"/>
      <c r="AH89"/>
      <c r="AI89"/>
      <c r="AJ89"/>
      <c r="AK89"/>
      <c r="AL89"/>
      <c r="AM89"/>
      <c r="AN89"/>
    </row>
    <row r="90" spans="27:40" x14ac:dyDescent="0.2">
      <c r="AA90"/>
      <c r="AB90"/>
      <c r="AC90"/>
      <c r="AD90"/>
      <c r="AE90"/>
      <c r="AF90"/>
      <c r="AG90"/>
      <c r="AH90"/>
      <c r="AI90"/>
      <c r="AJ90"/>
      <c r="AK90"/>
      <c r="AL90"/>
      <c r="AM90"/>
      <c r="AN90"/>
    </row>
    <row r="91" spans="27:40" x14ac:dyDescent="0.2">
      <c r="AA91"/>
      <c r="AB91"/>
      <c r="AC91"/>
      <c r="AD91"/>
      <c r="AE91"/>
      <c r="AF91"/>
      <c r="AG91"/>
      <c r="AH91"/>
      <c r="AI91"/>
      <c r="AJ91"/>
      <c r="AK91"/>
      <c r="AL91"/>
      <c r="AM91"/>
      <c r="AN91"/>
    </row>
    <row r="92" spans="27:40" x14ac:dyDescent="0.2">
      <c r="AA92"/>
      <c r="AB92"/>
      <c r="AC92"/>
      <c r="AD92"/>
      <c r="AE92"/>
      <c r="AF92"/>
      <c r="AG92"/>
      <c r="AH92"/>
      <c r="AI92"/>
      <c r="AJ92"/>
      <c r="AK92"/>
      <c r="AL92"/>
      <c r="AM92"/>
      <c r="AN92"/>
    </row>
    <row r="93" spans="27:40" x14ac:dyDescent="0.2">
      <c r="AA93"/>
      <c r="AB93"/>
      <c r="AC93"/>
      <c r="AD93"/>
      <c r="AE93"/>
      <c r="AF93"/>
      <c r="AG93"/>
      <c r="AH93"/>
      <c r="AI93"/>
      <c r="AJ93"/>
      <c r="AK93"/>
      <c r="AL93"/>
      <c r="AM93"/>
      <c r="AN93"/>
    </row>
    <row r="94" spans="27:40" x14ac:dyDescent="0.2">
      <c r="AA94"/>
      <c r="AB94"/>
      <c r="AC94"/>
      <c r="AD94"/>
      <c r="AE94"/>
      <c r="AF94"/>
      <c r="AG94"/>
      <c r="AH94"/>
      <c r="AI94"/>
      <c r="AJ94"/>
      <c r="AK94"/>
      <c r="AL94"/>
      <c r="AM94"/>
      <c r="AN94"/>
    </row>
    <row r="95" spans="27:40" x14ac:dyDescent="0.2">
      <c r="AA95"/>
      <c r="AB95"/>
      <c r="AC95"/>
      <c r="AD95"/>
      <c r="AE95"/>
      <c r="AF95"/>
      <c r="AG95"/>
      <c r="AH95"/>
      <c r="AI95"/>
      <c r="AJ95"/>
      <c r="AK95"/>
      <c r="AL95"/>
      <c r="AM95"/>
      <c r="AN95"/>
    </row>
    <row r="96" spans="27:40" x14ac:dyDescent="0.2">
      <c r="AA96"/>
      <c r="AB96"/>
      <c r="AC96"/>
      <c r="AD96"/>
      <c r="AE96"/>
      <c r="AF96"/>
      <c r="AG96"/>
      <c r="AH96"/>
      <c r="AI96"/>
      <c r="AJ96"/>
      <c r="AK96"/>
      <c r="AL96"/>
      <c r="AM96"/>
      <c r="AN96"/>
    </row>
    <row r="97" spans="27:40" x14ac:dyDescent="0.2">
      <c r="AA97"/>
      <c r="AB97"/>
      <c r="AC97"/>
      <c r="AD97"/>
      <c r="AE97"/>
      <c r="AF97"/>
      <c r="AG97"/>
      <c r="AH97"/>
      <c r="AI97"/>
      <c r="AJ97"/>
      <c r="AK97"/>
      <c r="AL97"/>
      <c r="AM97"/>
      <c r="AN97"/>
    </row>
    <row r="98" spans="27:40" x14ac:dyDescent="0.2">
      <c r="AA98"/>
      <c r="AB98"/>
      <c r="AC98"/>
      <c r="AD98"/>
      <c r="AE98"/>
      <c r="AF98"/>
      <c r="AG98"/>
      <c r="AH98"/>
      <c r="AI98"/>
      <c r="AJ98"/>
      <c r="AK98"/>
      <c r="AL98"/>
      <c r="AM98"/>
      <c r="AN98"/>
    </row>
  </sheetData>
  <sheetProtection algorithmName="SHA-512" hashValue="YQJgPZPiJTHIp8Txv8w56xuKyqjwswK8mSlDUClAlPa5WbUID8wijo2yB3/ccutG6nal5FfIE/wzTPeNq0Z2Ew==" saltValue="O/Rgttze4PMvD1Nu1VQWEQ==" spinCount="100000" sheet="1" objects="1" scenarios="1"/>
  <mergeCells count="66">
    <mergeCell ref="C1:M1"/>
    <mergeCell ref="C2:M2"/>
    <mergeCell ref="AH38:AJ38"/>
    <mergeCell ref="AL36:AM36"/>
    <mergeCell ref="B8:C8"/>
    <mergeCell ref="D28:E28"/>
    <mergeCell ref="D26:E26"/>
    <mergeCell ref="D11:E11"/>
    <mergeCell ref="D12:E12"/>
    <mergeCell ref="D13:E13"/>
    <mergeCell ref="D24:E24"/>
    <mergeCell ref="D20:E20"/>
    <mergeCell ref="D21:E21"/>
    <mergeCell ref="D22:E22"/>
    <mergeCell ref="D29:E29"/>
    <mergeCell ref="D30:E30"/>
    <mergeCell ref="B4:N4"/>
    <mergeCell ref="F7:H7"/>
    <mergeCell ref="I7:K7"/>
    <mergeCell ref="L7:N7"/>
    <mergeCell ref="D15:E15"/>
    <mergeCell ref="B5:N5"/>
    <mergeCell ref="D10:E10"/>
    <mergeCell ref="B10:C24"/>
    <mergeCell ref="D19:E19"/>
    <mergeCell ref="D14:E14"/>
    <mergeCell ref="D16:E16"/>
    <mergeCell ref="D17:E17"/>
    <mergeCell ref="D18:E18"/>
    <mergeCell ref="D23:E23"/>
    <mergeCell ref="C63:E63"/>
    <mergeCell ref="C64:E64"/>
    <mergeCell ref="C65:E65"/>
    <mergeCell ref="I37:K37"/>
    <mergeCell ref="L37:N37"/>
    <mergeCell ref="C54:E54"/>
    <mergeCell ref="C53:E53"/>
    <mergeCell ref="C58:E58"/>
    <mergeCell ref="B56:E56"/>
    <mergeCell ref="B51:E51"/>
    <mergeCell ref="B50:E50"/>
    <mergeCell ref="F37:H37"/>
    <mergeCell ref="B59:E59"/>
    <mergeCell ref="B60:E60"/>
    <mergeCell ref="C61:E61"/>
    <mergeCell ref="C62:E62"/>
    <mergeCell ref="B74:N74"/>
    <mergeCell ref="C67:E67"/>
    <mergeCell ref="C66:E66"/>
    <mergeCell ref="D73:E73"/>
    <mergeCell ref="D68:E68"/>
    <mergeCell ref="D70:E70"/>
    <mergeCell ref="D71:E71"/>
    <mergeCell ref="D72:E72"/>
    <mergeCell ref="D69:E69"/>
    <mergeCell ref="B55:E55"/>
    <mergeCell ref="C57:E57"/>
    <mergeCell ref="B36:N36"/>
    <mergeCell ref="D31:E31"/>
    <mergeCell ref="D25:E25"/>
    <mergeCell ref="B33:N33"/>
    <mergeCell ref="C52:E52"/>
    <mergeCell ref="B45:E45"/>
    <mergeCell ref="B40:E40"/>
    <mergeCell ref="D27:E27"/>
    <mergeCell ref="D32:E32"/>
  </mergeCells>
  <phoneticPr fontId="0" type="noConversion"/>
  <conditionalFormatting sqref="B1:C2 N1:Z2 A4:Z78">
    <cfRule type="expression" dxfId="103" priority="3" stopIfTrue="1">
      <formula>IF(ISERROR(A1),TRUE,FALSE)</formula>
    </cfRule>
  </conditionalFormatting>
  <conditionalFormatting sqref="A3:Z3 A1:A2">
    <cfRule type="expression" dxfId="102" priority="2" stopIfTrue="1">
      <formula>IF(ISERROR(A1),TRUE,FALSE)</formula>
    </cfRule>
  </conditionalFormatting>
  <hyperlinks>
    <hyperlink ref="C1" location="NPK_Organiques!B4" display="Quantités de N, P, K organiques produites et pressions sur les surfaces exploitées"/>
    <hyperlink ref="C2:M2" location="NPK_Organiques!B45" display="Quantités estimées avec les normes administratives de 2016"/>
  </hyperlinks>
  <printOptions horizontalCentered="1" verticalCentered="1"/>
  <pageMargins left="0.78740157480314965" right="0.78740157480314965" top="0.98425196850393704" bottom="0.98425196850393704"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61" r:id="rId4" name="Button 1">
              <controlPr defaultSize="0" print="0" autoFill="0" autoPict="0" macro="[0]!Retour_Presentation">
                <anchor moveWithCells="1" sizeWithCells="1">
                  <from>
                    <xdr:col>14</xdr:col>
                    <xdr:colOff>228600</xdr:colOff>
                    <xdr:row>3</xdr:row>
                    <xdr:rowOff>47625</xdr:rowOff>
                  </from>
                  <to>
                    <xdr:col>17</xdr:col>
                    <xdr:colOff>95250</xdr:colOff>
                    <xdr:row>7</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tabColor theme="4" tint="0.39997558519241921"/>
    <pageSetUpPr fitToPage="1"/>
  </sheetPr>
  <dimension ref="A1:BZ108"/>
  <sheetViews>
    <sheetView topLeftCell="A16" workbookViewId="0">
      <selection activeCell="B20" sqref="B20:K20"/>
    </sheetView>
  </sheetViews>
  <sheetFormatPr baseColWidth="10" defaultRowHeight="12.75" x14ac:dyDescent="0.2"/>
  <cols>
    <col min="1" max="1" width="1.28515625" customWidth="1"/>
    <col min="2" max="2" width="25.7109375" customWidth="1"/>
    <col min="3" max="3" width="7.5703125" customWidth="1"/>
    <col min="4" max="4" width="14.7109375" customWidth="1"/>
    <col min="5" max="5" width="29.5703125" customWidth="1"/>
    <col min="6" max="6" width="9.28515625" customWidth="1"/>
    <col min="7" max="7" width="12.85546875" customWidth="1"/>
    <col min="8" max="8" width="11.85546875" customWidth="1"/>
    <col min="9" max="9" width="11.42578125" customWidth="1"/>
    <col min="10" max="10" width="16.5703125" customWidth="1"/>
    <col min="11" max="11" width="13.7109375" customWidth="1"/>
    <col min="12" max="15" width="3.42578125" customWidth="1"/>
    <col min="16" max="16" width="6.5703125" customWidth="1"/>
    <col min="17" max="17" width="3.42578125" customWidth="1"/>
    <col min="18" max="26" width="10.42578125" customWidth="1"/>
    <col min="27" max="78" width="11.42578125" hidden="1" customWidth="1"/>
  </cols>
  <sheetData>
    <row r="1" spans="1:26" ht="18" x14ac:dyDescent="0.25">
      <c r="A1" s="2282"/>
      <c r="B1" s="3100" t="s">
        <v>767</v>
      </c>
      <c r="C1" s="3100"/>
      <c r="D1" s="3100"/>
      <c r="E1" s="3100"/>
      <c r="F1" s="3100"/>
      <c r="G1" s="3100"/>
      <c r="H1" s="3100"/>
      <c r="I1" s="3100"/>
      <c r="J1" s="3100"/>
      <c r="K1" s="3100"/>
      <c r="L1" s="2282"/>
      <c r="M1" s="2282"/>
      <c r="N1" s="2282"/>
      <c r="O1" s="2282"/>
      <c r="P1" s="2282"/>
      <c r="Q1" s="2282"/>
      <c r="R1" s="2282"/>
      <c r="S1" s="2282"/>
      <c r="T1" s="2282"/>
      <c r="U1" s="2282"/>
      <c r="V1" s="2282"/>
      <c r="W1" s="2282"/>
      <c r="X1" s="2282"/>
      <c r="Y1" s="2282"/>
      <c r="Z1" s="2282"/>
    </row>
    <row r="2" spans="1:26" x14ac:dyDescent="0.2">
      <c r="A2" s="2282"/>
      <c r="B2" s="2282"/>
      <c r="C2" s="2282"/>
      <c r="D2" s="2282"/>
      <c r="E2" s="2282"/>
      <c r="F2" s="2282"/>
      <c r="G2" s="2282"/>
      <c r="H2" s="2282"/>
      <c r="I2" s="2282"/>
      <c r="J2" s="2282"/>
      <c r="K2" s="2282"/>
      <c r="L2" s="2282"/>
      <c r="M2" s="2282"/>
      <c r="N2" s="2282"/>
      <c r="O2" s="2282"/>
      <c r="P2" s="2282"/>
      <c r="Q2" s="2282"/>
      <c r="R2" s="2282"/>
      <c r="S2" s="2282"/>
      <c r="T2" s="2282"/>
      <c r="U2" s="2282"/>
      <c r="V2" s="2282"/>
      <c r="W2" s="2282"/>
      <c r="X2" s="2282"/>
      <c r="Y2" s="2282"/>
      <c r="Z2" s="2282"/>
    </row>
    <row r="3" spans="1:26" ht="31.5" customHeight="1" x14ac:dyDescent="0.25">
      <c r="A3" s="2282"/>
      <c r="B3" s="2282"/>
      <c r="C3" s="2282"/>
      <c r="D3" s="2282"/>
      <c r="E3" s="2282"/>
      <c r="F3" s="2282"/>
      <c r="G3" s="2282"/>
      <c r="H3" s="2282"/>
      <c r="I3" s="3106" t="s">
        <v>1554</v>
      </c>
      <c r="J3" s="3106"/>
      <c r="K3" s="3106"/>
      <c r="L3" s="2282"/>
      <c r="M3" s="2282"/>
      <c r="N3" s="2282"/>
      <c r="O3" s="2282"/>
      <c r="P3" s="2282"/>
      <c r="Q3" s="2282"/>
      <c r="R3" s="2282"/>
      <c r="S3" s="2282"/>
      <c r="T3" s="2282"/>
      <c r="U3" s="2282"/>
      <c r="V3" s="2282"/>
      <c r="W3" s="2282"/>
      <c r="X3" s="2282"/>
      <c r="Y3" s="2282"/>
      <c r="Z3" s="2282"/>
    </row>
    <row r="4" spans="1:26" ht="15" x14ac:dyDescent="0.25">
      <c r="A4" s="2282"/>
      <c r="B4" s="2291"/>
      <c r="C4" s="2292" t="s">
        <v>504</v>
      </c>
      <c r="D4" s="2293" t="s">
        <v>1252</v>
      </c>
      <c r="E4" s="2294" t="s">
        <v>617</v>
      </c>
      <c r="F4" s="2293" t="s">
        <v>616</v>
      </c>
      <c r="G4" s="2295" t="s">
        <v>986</v>
      </c>
      <c r="H4" s="2294" t="s">
        <v>987</v>
      </c>
      <c r="I4" s="2293" t="s">
        <v>625</v>
      </c>
      <c r="J4" s="2295" t="s">
        <v>187</v>
      </c>
      <c r="K4" s="2294" t="s">
        <v>665</v>
      </c>
      <c r="L4" s="2282"/>
      <c r="M4" s="2282"/>
      <c r="N4" s="2282"/>
      <c r="O4" s="2282"/>
      <c r="P4" s="2282"/>
      <c r="Q4" s="2282"/>
      <c r="R4" s="2282"/>
      <c r="S4" s="2282"/>
      <c r="T4" s="2282"/>
      <c r="U4" s="2282"/>
      <c r="V4" s="2282"/>
      <c r="W4" s="2282"/>
      <c r="X4" s="2282"/>
      <c r="Y4" s="2282"/>
      <c r="Z4" s="2282"/>
    </row>
    <row r="5" spans="1:26" x14ac:dyDescent="0.2">
      <c r="A5" s="2282"/>
      <c r="B5" s="2296"/>
      <c r="C5" s="2297"/>
      <c r="D5" s="2298"/>
      <c r="E5" s="2299"/>
      <c r="F5" s="2300"/>
      <c r="G5" s="2301"/>
      <c r="H5" s="2302"/>
      <c r="I5" s="2298"/>
      <c r="J5" s="2303"/>
      <c r="K5" s="2299"/>
      <c r="L5" s="2282"/>
      <c r="M5" s="2282"/>
      <c r="N5" s="2282"/>
      <c r="O5" s="2282"/>
      <c r="P5" s="2282"/>
      <c r="Q5" s="2282"/>
      <c r="R5" s="2282"/>
      <c r="S5" s="2282"/>
      <c r="T5" s="2282"/>
      <c r="U5" s="2282"/>
      <c r="V5" s="2282"/>
      <c r="W5" s="2282"/>
      <c r="X5" s="2282"/>
      <c r="Y5" s="2282"/>
      <c r="Z5" s="2282"/>
    </row>
    <row r="6" spans="1:26" x14ac:dyDescent="0.2">
      <c r="A6" s="2282"/>
      <c r="B6" s="2304" t="s">
        <v>619</v>
      </c>
      <c r="C6" s="2305">
        <f>Ugb_Tot</f>
        <v>114.78978666666666</v>
      </c>
      <c r="D6" s="2306">
        <f>IF(SA_SFPc=0,"",C6/SA_SFPc)</f>
        <v>1.275442074074074</v>
      </c>
      <c r="E6" s="2307">
        <f>IF(SA_SAUnette=0,"",C6/SA_SAUnette)</f>
        <v>1.275442074074074</v>
      </c>
      <c r="F6" s="2308">
        <f>NPK_Organiques!H19</f>
        <v>9928.0863905325441</v>
      </c>
      <c r="G6" s="2309">
        <f>NPK_Organiques!K19</f>
        <v>3947.2332347140041</v>
      </c>
      <c r="H6" s="2310">
        <f>NPK_Organiques!N19</f>
        <v>13913.08201183432</v>
      </c>
      <c r="I6" s="2308">
        <f>IF(C6=0,"",F6/C6)</f>
        <v>86.489283400816021</v>
      </c>
      <c r="J6" s="2309">
        <f>IF(C6=0,"",G6/C6)</f>
        <v>34.386624013652124</v>
      </c>
      <c r="K6" s="2310">
        <f>IF(C6=0,"",H6/C6)</f>
        <v>121.20487733142973</v>
      </c>
      <c r="L6" s="2282"/>
      <c r="M6" s="2282"/>
      <c r="N6" s="2282"/>
      <c r="O6" s="2282"/>
      <c r="P6" s="2282"/>
      <c r="Q6" s="2282"/>
      <c r="R6" s="2282"/>
      <c r="S6" s="2282"/>
      <c r="T6" s="2282"/>
      <c r="U6" s="2282"/>
      <c r="V6" s="2282"/>
      <c r="W6" s="2282"/>
      <c r="X6" s="2282"/>
      <c r="Y6" s="2282"/>
      <c r="Z6" s="2282"/>
    </row>
    <row r="7" spans="1:26" x14ac:dyDescent="0.2">
      <c r="A7" s="2282"/>
      <c r="B7" s="2311"/>
      <c r="C7" s="2312"/>
      <c r="D7" s="2313"/>
      <c r="E7" s="2314"/>
      <c r="F7" s="2315"/>
      <c r="G7" s="2316"/>
      <c r="H7" s="2317"/>
      <c r="I7" s="2315"/>
      <c r="J7" s="2316"/>
      <c r="K7" s="2317"/>
      <c r="L7" s="2282"/>
      <c r="M7" s="2282"/>
      <c r="N7" s="2282"/>
      <c r="O7" s="2282"/>
      <c r="P7" s="2282"/>
      <c r="Q7" s="2282"/>
      <c r="R7" s="2282"/>
      <c r="S7" s="2282"/>
      <c r="T7" s="2282"/>
      <c r="U7" s="2282"/>
      <c r="V7" s="2282"/>
      <c r="W7" s="2282"/>
      <c r="X7" s="2282"/>
      <c r="Y7" s="2282"/>
      <c r="Z7" s="2282"/>
    </row>
    <row r="8" spans="1:26" x14ac:dyDescent="0.2">
      <c r="A8" s="2282"/>
      <c r="B8" s="2311" t="s">
        <v>618</v>
      </c>
      <c r="C8" s="2312"/>
      <c r="D8" s="2313"/>
      <c r="E8" s="2314"/>
      <c r="F8" s="2318"/>
      <c r="G8" s="2319"/>
      <c r="H8" s="2320"/>
      <c r="I8" s="2318"/>
      <c r="J8" s="2319"/>
      <c r="K8" s="2320"/>
      <c r="L8" s="2282"/>
      <c r="M8" s="2282"/>
      <c r="N8" s="2282"/>
      <c r="O8" s="2282"/>
      <c r="P8" s="2282"/>
      <c r="Q8" s="2282"/>
      <c r="R8" s="2282"/>
      <c r="S8" s="2282"/>
      <c r="T8" s="2282"/>
      <c r="U8" s="2282"/>
      <c r="V8" s="2282"/>
      <c r="W8" s="2282"/>
      <c r="X8" s="2282"/>
      <c r="Y8" s="2282"/>
      <c r="Z8" s="2282"/>
    </row>
    <row r="9" spans="1:26" ht="5.0999999999999996" customHeight="1" x14ac:dyDescent="0.2">
      <c r="A9" s="2282"/>
      <c r="B9" s="2311"/>
      <c r="C9" s="2312"/>
      <c r="D9" s="2313"/>
      <c r="E9" s="2314"/>
      <c r="F9" s="2318"/>
      <c r="G9" s="2319"/>
      <c r="H9" s="2320"/>
      <c r="I9" s="2318"/>
      <c r="J9" s="2319"/>
      <c r="K9" s="2320"/>
      <c r="L9" s="2282"/>
      <c r="M9" s="2282"/>
      <c r="N9" s="2282"/>
      <c r="O9" s="2282"/>
      <c r="P9" s="2282"/>
      <c r="Q9" s="2282"/>
      <c r="R9" s="2282"/>
      <c r="S9" s="2282"/>
      <c r="T9" s="2282"/>
      <c r="U9" s="2282"/>
      <c r="V9" s="2282"/>
      <c r="W9" s="2282"/>
      <c r="X9" s="2282"/>
      <c r="Y9" s="2282"/>
      <c r="Z9" s="2282"/>
    </row>
    <row r="10" spans="1:26" x14ac:dyDescent="0.2">
      <c r="A10" s="2282"/>
      <c r="B10" s="2321" t="s">
        <v>452</v>
      </c>
      <c r="C10" s="2312">
        <f>VL_UgbVL</f>
        <v>54.423120000000004</v>
      </c>
      <c r="D10" s="2313">
        <f>IF(SA_SFPc=0,"",C10/SA_SFPc)</f>
        <v>0.60470133333333342</v>
      </c>
      <c r="E10" s="2314">
        <f>IF(SA_SAUnette=0,"",C10/SA_SAUnette)</f>
        <v>0.60470133333333342</v>
      </c>
      <c r="F10" s="2318">
        <f>NPK_Organiques!H10</f>
        <v>5105.6197238658779</v>
      </c>
      <c r="G10" s="2319">
        <f>NPK_Organiques!K10</f>
        <v>2033.749901380671</v>
      </c>
      <c r="H10" s="2320">
        <f>NPK_Organiques!N10</f>
        <v>6869.2486785009869</v>
      </c>
      <c r="I10" s="2318">
        <f>IF(C10=0,"",F10/C10)</f>
        <v>93.813433038493159</v>
      </c>
      <c r="J10" s="2319">
        <f>IF(C10=0,"",G10/C10)</f>
        <v>37.369226559974344</v>
      </c>
      <c r="K10" s="2320">
        <f>IF(C10=0,"",H10/C10)</f>
        <v>126.21931044197736</v>
      </c>
      <c r="L10" s="2282"/>
      <c r="M10" s="2282"/>
      <c r="N10" s="2282"/>
      <c r="O10" s="2282"/>
      <c r="P10" s="2282"/>
      <c r="Q10" s="2282"/>
      <c r="R10" s="2282"/>
      <c r="S10" s="2282"/>
      <c r="T10" s="2282"/>
      <c r="U10" s="2282"/>
      <c r="V10" s="2282"/>
      <c r="W10" s="2282"/>
      <c r="X10" s="2282"/>
      <c r="Y10" s="2282"/>
      <c r="Z10" s="2282"/>
    </row>
    <row r="11" spans="1:26" x14ac:dyDescent="0.2">
      <c r="A11" s="2282"/>
      <c r="B11" s="2321" t="s">
        <v>379</v>
      </c>
      <c r="C11" s="2312">
        <f>TA_UgbVL</f>
        <v>17.600000000000001</v>
      </c>
      <c r="D11" s="2313">
        <f>IF(SA_SFPc=0,"",C11/SA_SFPc)</f>
        <v>0.19555555555555557</v>
      </c>
      <c r="E11" s="2314">
        <f>IF(SA_SAUnette=0,"",C11/SA_SAUnette)</f>
        <v>0.19555555555555557</v>
      </c>
      <c r="F11" s="2318">
        <f>NPK_Organiques!H12</f>
        <v>1518.7333333333333</v>
      </c>
      <c r="G11" s="2319">
        <f>NPK_Organiques!K12</f>
        <v>739.93333333333328</v>
      </c>
      <c r="H11" s="2320">
        <f>NPK_Organiques!N12</f>
        <v>2453</v>
      </c>
      <c r="I11" s="2318">
        <f>IF(C11=0,"",F11/C11)</f>
        <v>86.291666666666657</v>
      </c>
      <c r="J11" s="2319">
        <f>IF(C11=0,"",G11/C11)</f>
        <v>42.041666666666657</v>
      </c>
      <c r="K11" s="2320">
        <f>IF(C11=0,"",H11/C11)</f>
        <v>139.375</v>
      </c>
      <c r="L11" s="2282"/>
      <c r="M11" s="2282"/>
      <c r="N11" s="2282"/>
      <c r="O11" s="2282"/>
      <c r="P11" s="2282"/>
      <c r="Q11" s="2282"/>
      <c r="R11" s="2282"/>
      <c r="S11" s="2282"/>
      <c r="T11" s="2282"/>
      <c r="U11" s="2282"/>
      <c r="V11" s="2282"/>
      <c r="W11" s="2282"/>
      <c r="X11" s="2282"/>
      <c r="Y11" s="2282"/>
      <c r="Z11" s="2282"/>
    </row>
    <row r="12" spans="1:26" x14ac:dyDescent="0.2">
      <c r="A12" s="2282"/>
      <c r="B12" s="2311"/>
      <c r="C12" s="2312"/>
      <c r="D12" s="2313"/>
      <c r="E12" s="2314"/>
      <c r="F12" s="2318"/>
      <c r="G12" s="2319"/>
      <c r="H12" s="2320"/>
      <c r="I12" s="2318"/>
      <c r="J12" s="2319"/>
      <c r="K12" s="2320"/>
      <c r="L12" s="2282"/>
      <c r="M12" s="2282"/>
      <c r="N12" s="2282"/>
      <c r="O12" s="2282"/>
      <c r="P12" s="2282"/>
      <c r="Q12" s="2282"/>
      <c r="R12" s="2282"/>
      <c r="S12" s="2282"/>
      <c r="T12" s="2282"/>
      <c r="U12" s="2282"/>
      <c r="V12" s="2282"/>
      <c r="W12" s="2282"/>
      <c r="X12" s="2282"/>
      <c r="Y12" s="2282"/>
      <c r="Z12" s="2282"/>
    </row>
    <row r="13" spans="1:26" x14ac:dyDescent="0.2">
      <c r="A13" s="2282"/>
      <c r="B13" s="2321" t="s">
        <v>620</v>
      </c>
      <c r="C13" s="2312">
        <f>Saisies_Exploitation!L50</f>
        <v>77.223119999999994</v>
      </c>
      <c r="D13" s="2313">
        <f>IF(SA_SFPc=0,"",C13/SA_SFPc)</f>
        <v>0.85803466666666661</v>
      </c>
      <c r="E13" s="2314">
        <f>IF(SA_SAUnette=0,"",C13/SA_SAUnette)</f>
        <v>0.85803466666666661</v>
      </c>
      <c r="F13" s="2318">
        <f>F10+NPK_Organiques!H11</f>
        <v>6745.9530571992109</v>
      </c>
      <c r="G13" s="2319">
        <f>G10+NPK_Organiques!K11</f>
        <v>2621.749901380671</v>
      </c>
      <c r="H13" s="2320">
        <f>H10+NPK_Organiques!N11</f>
        <v>9190.5820118343199</v>
      </c>
      <c r="I13" s="2318">
        <f>IF(C13=0,"",F13/C13)</f>
        <v>87.356649889297543</v>
      </c>
      <c r="J13" s="2319">
        <f>IF(C13=0,"",G13/C13)</f>
        <v>33.950323444334693</v>
      </c>
      <c r="K13" s="2320">
        <f>IF(C13=0,"",H13/C13)</f>
        <v>119.01334745131147</v>
      </c>
      <c r="L13" s="2282"/>
      <c r="M13" s="2282"/>
      <c r="N13" s="2282"/>
      <c r="O13" s="2282"/>
      <c r="P13" s="2282"/>
      <c r="Q13" s="2282"/>
      <c r="R13" s="2282"/>
      <c r="S13" s="2282"/>
      <c r="T13" s="2282"/>
      <c r="U13" s="2282"/>
      <c r="V13" s="2282"/>
      <c r="W13" s="2282"/>
      <c r="X13" s="2282"/>
      <c r="Y13" s="2282"/>
      <c r="Z13" s="2282"/>
    </row>
    <row r="14" spans="1:26" x14ac:dyDescent="0.2">
      <c r="A14" s="2282"/>
      <c r="B14" s="2321" t="s">
        <v>621</v>
      </c>
      <c r="C14" s="2312">
        <f>Saisies_Exploitation!M64</f>
        <v>28.25</v>
      </c>
      <c r="D14" s="2313">
        <f>IF(SA_SFPc=0,"",C14/SA_SFPc)</f>
        <v>0.31388888888888888</v>
      </c>
      <c r="E14" s="2314">
        <f>IF(SA_SAUnette=0,"",C14/SA_SAUnette)</f>
        <v>0.31388888888888888</v>
      </c>
      <c r="F14" s="2318">
        <f>F11+NPK_Organiques!H13</f>
        <v>2346.1333333333332</v>
      </c>
      <c r="G14" s="2319">
        <f>G11+NPK_Organiques!K13</f>
        <v>1050.5333333333333</v>
      </c>
      <c r="H14" s="2320">
        <f>H11+NPK_Organiques!N13</f>
        <v>3613</v>
      </c>
      <c r="I14" s="2318">
        <f>IF(C14=0,"",F14/C14)</f>
        <v>83.048967551622411</v>
      </c>
      <c r="J14" s="2319">
        <f>IF(C14=0,"",G14/C14)</f>
        <v>37.187020648967554</v>
      </c>
      <c r="K14" s="2320">
        <f>IF(C14=0,"",H14/C14)</f>
        <v>127.89380530973452</v>
      </c>
      <c r="L14" s="2282"/>
      <c r="M14" s="2282"/>
      <c r="N14" s="2282"/>
      <c r="O14" s="2282"/>
      <c r="P14" s="2282"/>
      <c r="Q14" s="2282"/>
      <c r="R14" s="2282"/>
      <c r="S14" s="2282"/>
      <c r="T14" s="2282"/>
      <c r="U14" s="2282"/>
      <c r="V14" s="2282"/>
      <c r="W14" s="2282"/>
      <c r="X14" s="2282"/>
      <c r="Y14" s="2282"/>
      <c r="Z14" s="2282"/>
    </row>
    <row r="15" spans="1:26" x14ac:dyDescent="0.2">
      <c r="A15" s="2282"/>
      <c r="B15" s="2311"/>
      <c r="C15" s="2312"/>
      <c r="D15" s="2313"/>
      <c r="E15" s="2314"/>
      <c r="F15" s="2318"/>
      <c r="G15" s="2319"/>
      <c r="H15" s="2320"/>
      <c r="I15" s="2318"/>
      <c r="J15" s="2319"/>
      <c r="K15" s="2320"/>
      <c r="L15" s="2282"/>
      <c r="M15" s="2282"/>
      <c r="N15" s="2282"/>
      <c r="O15" s="2282"/>
      <c r="P15" s="2282"/>
      <c r="Q15" s="2282"/>
      <c r="R15" s="2282"/>
      <c r="S15" s="2282"/>
      <c r="T15" s="2282"/>
      <c r="U15" s="2282"/>
      <c r="V15" s="2282"/>
      <c r="W15" s="2282"/>
      <c r="X15" s="2282"/>
      <c r="Y15" s="2282"/>
      <c r="Z15" s="2282"/>
    </row>
    <row r="16" spans="1:26" x14ac:dyDescent="0.2">
      <c r="A16" s="2282"/>
      <c r="B16" s="2304" t="s">
        <v>1764</v>
      </c>
      <c r="C16" s="2305">
        <f t="shared" ref="C16:H16" si="0">C6-SUM(C13:C14)</f>
        <v>9.3166666666666629</v>
      </c>
      <c r="D16" s="2306">
        <f t="shared" si="0"/>
        <v>0.10351851851851857</v>
      </c>
      <c r="E16" s="2307">
        <f t="shared" si="0"/>
        <v>0.10351851851851857</v>
      </c>
      <c r="F16" s="2308">
        <f t="shared" si="0"/>
        <v>836</v>
      </c>
      <c r="G16" s="2309">
        <f t="shared" si="0"/>
        <v>274.94999999999982</v>
      </c>
      <c r="H16" s="2310">
        <f t="shared" si="0"/>
        <v>1109.5</v>
      </c>
      <c r="I16" s="2308">
        <f>IF(C16=0,"",F16/C16)</f>
        <v>89.7316636851521</v>
      </c>
      <c r="J16" s="2309">
        <f>IF(C16=0,"",G16/C16)</f>
        <v>29.511627906976738</v>
      </c>
      <c r="K16" s="2310">
        <f>IF(C16=0,"",H16/C16)</f>
        <v>119.08765652951705</v>
      </c>
      <c r="L16" s="2282"/>
      <c r="M16" s="2282"/>
      <c r="N16" s="2282"/>
      <c r="O16" s="2282"/>
      <c r="P16" s="2282"/>
      <c r="Q16" s="2282"/>
      <c r="R16" s="2282"/>
      <c r="S16" s="2282"/>
      <c r="T16" s="2282"/>
      <c r="U16" s="2282"/>
      <c r="V16" s="2282"/>
      <c r="W16" s="2282"/>
      <c r="X16" s="2282"/>
      <c r="Y16" s="2282"/>
      <c r="Z16" s="2282"/>
    </row>
    <row r="17" spans="1:35" x14ac:dyDescent="0.2">
      <c r="A17" s="2283"/>
      <c r="B17" s="2285"/>
      <c r="C17" s="2285"/>
      <c r="D17" s="2285"/>
      <c r="E17" s="2285"/>
      <c r="F17" s="2282"/>
      <c r="G17" s="2282"/>
      <c r="H17" s="2282"/>
      <c r="I17" s="2282"/>
      <c r="J17" s="2282"/>
      <c r="K17" s="2282"/>
      <c r="L17" s="2282"/>
      <c r="M17" s="2282"/>
      <c r="N17" s="2282"/>
      <c r="O17" s="2282"/>
      <c r="P17" s="2282"/>
      <c r="Q17" s="2282"/>
      <c r="R17" s="2282"/>
      <c r="S17" s="2282"/>
      <c r="T17" s="2282"/>
      <c r="U17" s="2282"/>
      <c r="V17" s="2282"/>
      <c r="W17" s="2282"/>
      <c r="X17" s="2282"/>
      <c r="Y17" s="2282"/>
      <c r="Z17" s="2282"/>
    </row>
    <row r="18" spans="1:35" x14ac:dyDescent="0.2">
      <c r="A18" s="2283"/>
      <c r="B18" s="2170"/>
      <c r="C18" s="2163"/>
      <c r="D18" s="2163"/>
      <c r="E18" s="2163"/>
      <c r="F18" s="2163"/>
      <c r="G18" s="2163"/>
      <c r="H18" s="2163"/>
      <c r="I18" s="2282"/>
      <c r="J18" s="2282"/>
      <c r="K18" s="2282"/>
      <c r="L18" s="2282"/>
      <c r="M18" s="2282"/>
      <c r="N18" s="2282"/>
      <c r="O18" s="2282"/>
      <c r="P18" s="2282"/>
      <c r="Q18" s="2282"/>
      <c r="R18" s="2282"/>
      <c r="S18" s="2282"/>
      <c r="T18" s="2282"/>
      <c r="U18" s="2282"/>
      <c r="V18" s="2282"/>
      <c r="W18" s="2282"/>
      <c r="X18" s="2282"/>
      <c r="Y18" s="2282"/>
      <c r="Z18" s="2282"/>
    </row>
    <row r="19" spans="1:35" ht="5.0999999999999996" customHeight="1" x14ac:dyDescent="0.2">
      <c r="A19" s="2282"/>
      <c r="B19" s="2163"/>
      <c r="C19" s="2163"/>
      <c r="D19" s="2163"/>
      <c r="E19" s="2163"/>
      <c r="F19" s="2163"/>
      <c r="G19" s="2163"/>
      <c r="H19" s="2163"/>
      <c r="I19" s="2282"/>
      <c r="J19" s="2282"/>
      <c r="K19" s="2282"/>
      <c r="L19" s="2282"/>
      <c r="M19" s="2282"/>
      <c r="N19" s="2282"/>
      <c r="O19" s="2282"/>
      <c r="P19" s="2282"/>
      <c r="Q19" s="2282"/>
      <c r="R19" s="2282"/>
      <c r="S19" s="2282"/>
      <c r="T19" s="2282"/>
      <c r="U19" s="2282"/>
      <c r="V19" s="2282"/>
      <c r="W19" s="2282"/>
      <c r="X19" s="2282"/>
      <c r="Y19" s="2282"/>
      <c r="Z19" s="2282"/>
    </row>
    <row r="20" spans="1:35" ht="18.75" customHeight="1" x14ac:dyDescent="0.2">
      <c r="A20" s="2282"/>
      <c r="B20" s="3102" t="s">
        <v>206</v>
      </c>
      <c r="C20" s="3102"/>
      <c r="D20" s="3102"/>
      <c r="E20" s="3102"/>
      <c r="F20" s="3102"/>
      <c r="G20" s="3102"/>
      <c r="H20" s="3102"/>
      <c r="I20" s="3102"/>
      <c r="J20" s="3102"/>
      <c r="K20" s="3102"/>
      <c r="L20" s="2282"/>
      <c r="M20" s="2282"/>
      <c r="N20" s="2282"/>
      <c r="O20" s="2282"/>
      <c r="P20" s="2282"/>
      <c r="Q20" s="2282"/>
      <c r="R20" s="2282"/>
      <c r="S20" s="2282"/>
      <c r="T20" s="2282"/>
      <c r="U20" s="2282"/>
      <c r="V20" s="2282"/>
      <c r="W20" s="2282"/>
      <c r="X20" s="2282"/>
      <c r="Y20" s="2282"/>
      <c r="Z20" s="2282"/>
    </row>
    <row r="21" spans="1:35" ht="18.75" customHeight="1" x14ac:dyDescent="0.2">
      <c r="A21" s="2282"/>
      <c r="B21" s="3102" t="s">
        <v>848</v>
      </c>
      <c r="C21" s="3102"/>
      <c r="D21" s="3102"/>
      <c r="E21" s="3102"/>
      <c r="F21" s="3102"/>
      <c r="G21" s="3102"/>
      <c r="H21" s="3102"/>
      <c r="I21" s="3102"/>
      <c r="J21" s="3102"/>
      <c r="K21" s="3102"/>
      <c r="L21" s="2282"/>
      <c r="M21" s="2282"/>
      <c r="N21" s="2282"/>
      <c r="O21" s="2282"/>
      <c r="P21" s="2282"/>
      <c r="Q21" s="2282"/>
      <c r="R21" s="2282"/>
      <c r="S21" s="2282"/>
      <c r="T21" s="2282"/>
      <c r="U21" s="2282"/>
      <c r="V21" s="2282"/>
      <c r="W21" s="2282"/>
      <c r="X21" s="2282"/>
      <c r="Y21" s="2282"/>
      <c r="Z21" s="2282"/>
    </row>
    <row r="22" spans="1:35" ht="18.75" customHeight="1" x14ac:dyDescent="0.2">
      <c r="A22" s="2282"/>
      <c r="B22" s="3102" t="s">
        <v>849</v>
      </c>
      <c r="C22" s="3102"/>
      <c r="D22" s="3102"/>
      <c r="E22" s="3102"/>
      <c r="F22" s="3102"/>
      <c r="G22" s="3102"/>
      <c r="H22" s="3102"/>
      <c r="I22" s="3102"/>
      <c r="J22" s="3102"/>
      <c r="K22" s="3102"/>
      <c r="L22" s="2282"/>
      <c r="M22" s="2282"/>
      <c r="N22" s="2282"/>
      <c r="O22" s="2282"/>
      <c r="P22" s="2282"/>
      <c r="Q22" s="2282"/>
      <c r="R22" s="2282"/>
      <c r="S22" s="2282"/>
      <c r="T22" s="2282"/>
      <c r="U22" s="2282"/>
      <c r="V22" s="2282"/>
      <c r="W22" s="2282"/>
      <c r="X22" s="2282"/>
      <c r="Y22" s="2282"/>
      <c r="Z22" s="2282"/>
    </row>
    <row r="23" spans="1:35" ht="5.0999999999999996" customHeight="1" thickBot="1" x14ac:dyDescent="0.25">
      <c r="A23" s="2282"/>
      <c r="B23" s="2163"/>
      <c r="C23" s="2163"/>
      <c r="D23" s="2163"/>
      <c r="E23" s="2163"/>
      <c r="F23" s="2163"/>
      <c r="G23" s="2163"/>
      <c r="H23" s="2163"/>
      <c r="I23" s="2282"/>
      <c r="J23" s="2282"/>
      <c r="K23" s="2282"/>
      <c r="L23" s="2282"/>
      <c r="M23" s="2282"/>
      <c r="N23" s="2282"/>
      <c r="O23" s="2282"/>
      <c r="P23" s="2282"/>
      <c r="Q23" s="2282"/>
      <c r="R23" s="2282"/>
      <c r="S23" s="2282"/>
      <c r="T23" s="2282"/>
      <c r="U23" s="2282"/>
      <c r="V23" s="2282"/>
      <c r="W23" s="2282"/>
      <c r="X23" s="2282"/>
      <c r="Y23" s="2282"/>
      <c r="Z23" s="2282"/>
    </row>
    <row r="24" spans="1:35" ht="13.5" thickTop="1" x14ac:dyDescent="0.2">
      <c r="A24" s="2282"/>
      <c r="B24" s="2163"/>
      <c r="C24" s="2163"/>
      <c r="D24" s="2163"/>
      <c r="E24" s="2163"/>
      <c r="F24" s="2949"/>
      <c r="G24" s="2390" t="s">
        <v>504</v>
      </c>
      <c r="H24" s="2390" t="s">
        <v>758</v>
      </c>
      <c r="I24" s="2390" t="s">
        <v>759</v>
      </c>
      <c r="J24" s="2391" t="s">
        <v>760</v>
      </c>
      <c r="K24" s="2392" t="s">
        <v>596</v>
      </c>
      <c r="L24" s="2282"/>
      <c r="M24" s="2282"/>
      <c r="N24" s="2282"/>
      <c r="O24" s="2282"/>
      <c r="P24" s="2282"/>
      <c r="Q24" s="2282"/>
      <c r="R24" s="2282"/>
      <c r="S24" s="2282"/>
      <c r="T24" s="2282"/>
      <c r="U24" s="2282"/>
      <c r="V24" s="2282"/>
      <c r="W24" s="2282"/>
      <c r="X24" s="2282"/>
      <c r="Y24" s="2282"/>
      <c r="Z24" s="2282"/>
    </row>
    <row r="25" spans="1:35" ht="13.5" thickBot="1" x14ac:dyDescent="0.25">
      <c r="A25" s="2282"/>
      <c r="B25" s="2282"/>
      <c r="C25" s="2282"/>
      <c r="D25" s="2282"/>
      <c r="E25" s="2282"/>
      <c r="F25" s="2950"/>
      <c r="G25" s="2393"/>
      <c r="H25" s="2394" t="s">
        <v>757</v>
      </c>
      <c r="I25" s="2394" t="s">
        <v>757</v>
      </c>
      <c r="J25" s="2395" t="s">
        <v>728</v>
      </c>
      <c r="K25" s="2396" t="s">
        <v>2435</v>
      </c>
      <c r="L25" s="2282"/>
      <c r="M25" s="2282"/>
      <c r="N25" s="2282"/>
      <c r="O25" s="2282"/>
      <c r="P25" s="2282"/>
      <c r="Q25" s="2282"/>
      <c r="R25" s="2282"/>
      <c r="S25" s="2282"/>
      <c r="T25" s="2282"/>
      <c r="U25" s="2282"/>
      <c r="V25" s="2282"/>
      <c r="W25" s="2282"/>
      <c r="X25" s="2282"/>
      <c r="Y25" s="2282"/>
      <c r="Z25" s="2282"/>
    </row>
    <row r="26" spans="1:35" ht="13.5" thickTop="1" x14ac:dyDescent="0.2">
      <c r="A26" s="2282"/>
      <c r="B26" s="3107" t="s">
        <v>597</v>
      </c>
      <c r="C26" s="3108"/>
      <c r="D26" s="3108"/>
      <c r="E26" s="3108"/>
      <c r="F26" s="2371"/>
      <c r="G26" s="2371"/>
      <c r="H26" s="2371"/>
      <c r="I26" s="2371"/>
      <c r="J26" s="2371"/>
      <c r="K26" s="2372"/>
      <c r="L26" s="2282"/>
      <c r="M26" s="2282"/>
      <c r="N26" s="2282"/>
      <c r="O26" s="2282"/>
      <c r="P26" s="2282"/>
      <c r="Q26" s="2282"/>
      <c r="R26" s="2282"/>
      <c r="S26" s="2282"/>
      <c r="T26" s="2282"/>
      <c r="U26" s="2282"/>
      <c r="V26" s="2282"/>
      <c r="W26" s="2282"/>
      <c r="X26" s="2282"/>
      <c r="Y26" s="2282"/>
      <c r="Z26" s="2282"/>
    </row>
    <row r="27" spans="1:35" x14ac:dyDescent="0.2">
      <c r="A27" s="2282"/>
      <c r="B27" s="2373"/>
      <c r="C27" s="3109" t="s">
        <v>598</v>
      </c>
      <c r="D27" s="3109"/>
      <c r="E27" s="3109"/>
      <c r="F27" s="2374"/>
      <c r="G27" s="2374"/>
      <c r="H27" s="2374"/>
      <c r="I27" s="2374"/>
      <c r="J27" s="2374"/>
      <c r="K27" s="2375"/>
      <c r="L27" s="2282"/>
      <c r="M27" s="2282"/>
      <c r="N27" s="2282"/>
      <c r="O27" s="2282"/>
      <c r="P27" s="2282"/>
      <c r="Q27" s="2282"/>
      <c r="R27" s="2282"/>
      <c r="S27" s="2282"/>
      <c r="T27" s="2282"/>
      <c r="U27" s="2282"/>
      <c r="V27" s="2282"/>
      <c r="W27" s="2282"/>
      <c r="X27" s="2282"/>
      <c r="Y27" s="2282"/>
      <c r="Z27" s="2282"/>
      <c r="AI27" s="1369" t="s">
        <v>1779</v>
      </c>
    </row>
    <row r="28" spans="1:35" x14ac:dyDescent="0.2">
      <c r="A28" s="2282"/>
      <c r="B28" s="2952" t="s">
        <v>2437</v>
      </c>
      <c r="C28" s="2376"/>
      <c r="D28" s="2376"/>
      <c r="E28" s="2377" t="s">
        <v>836</v>
      </c>
      <c r="F28" s="2378"/>
      <c r="G28" s="2379">
        <f>VL_UgbVL</f>
        <v>54.423120000000004</v>
      </c>
      <c r="H28" s="2374">
        <f>AVL_JoPer1</f>
        <v>90</v>
      </c>
      <c r="I28" s="2374">
        <f>H28*G28</f>
        <v>4898.0808000000006</v>
      </c>
      <c r="J28" s="2951">
        <f>AVL_Surpat1</f>
        <v>12</v>
      </c>
      <c r="K28" s="2380">
        <f>0.83*I28/AVL_Surpat1</f>
        <v>338.78392200000002</v>
      </c>
      <c r="L28" s="2282"/>
      <c r="M28" s="2282"/>
      <c r="N28" s="2282"/>
      <c r="O28" s="2282"/>
      <c r="P28" s="2282"/>
      <c r="Q28" s="2282"/>
      <c r="R28" s="2282"/>
      <c r="S28" s="2282"/>
      <c r="T28" s="2282"/>
      <c r="U28" s="2282"/>
      <c r="V28" s="2282"/>
      <c r="W28" s="2282"/>
      <c r="X28" s="2282"/>
      <c r="Y28" s="2282"/>
      <c r="Z28" s="2282"/>
      <c r="AC28" s="1370"/>
      <c r="AD28" s="1370"/>
      <c r="AI28" s="1369">
        <f>I28/SUM(I28:I30)</f>
        <v>0.47368421052631576</v>
      </c>
    </row>
    <row r="29" spans="1:35" x14ac:dyDescent="0.2">
      <c r="A29" s="2282"/>
      <c r="B29" s="2952" t="s">
        <v>2436</v>
      </c>
      <c r="C29" s="2376"/>
      <c r="D29" s="2376"/>
      <c r="E29" s="2377" t="s">
        <v>837</v>
      </c>
      <c r="F29" s="2378"/>
      <c r="G29" s="2379">
        <f>VL_UgbVL</f>
        <v>54.423120000000004</v>
      </c>
      <c r="H29" s="2374">
        <f>AVL_JoPer2</f>
        <v>55</v>
      </c>
      <c r="I29" s="2374">
        <f>H29*G29</f>
        <v>2993.2716</v>
      </c>
      <c r="J29" s="2951">
        <f>AVL_SurPat2</f>
        <v>18</v>
      </c>
      <c r="K29" s="2380">
        <f>0.83*I29/AVL_SurPat2</f>
        <v>138.02307933333333</v>
      </c>
      <c r="L29" s="2282"/>
      <c r="M29" s="2282"/>
      <c r="N29" s="2282"/>
      <c r="O29" s="2282"/>
      <c r="P29" s="2282"/>
      <c r="Q29" s="2282"/>
      <c r="R29" s="2282"/>
      <c r="S29" s="2282"/>
      <c r="T29" s="2282"/>
      <c r="U29" s="2282"/>
      <c r="V29" s="2282"/>
      <c r="W29" s="2282"/>
      <c r="X29" s="2282"/>
      <c r="Y29" s="2282"/>
      <c r="Z29" s="2282"/>
      <c r="AI29" s="1369">
        <f>I29/SUM(I28:I30)</f>
        <v>0.28947368421052627</v>
      </c>
    </row>
    <row r="30" spans="1:35" x14ac:dyDescent="0.2">
      <c r="A30" s="2282"/>
      <c r="B30" s="2961" t="s">
        <v>2463</v>
      </c>
      <c r="C30" s="2376"/>
      <c r="D30" s="2376"/>
      <c r="E30" s="2381" t="s">
        <v>1205</v>
      </c>
      <c r="F30" s="2378"/>
      <c r="G30" s="2379">
        <f>VL_UgbVL</f>
        <v>54.423120000000004</v>
      </c>
      <c r="H30" s="2374">
        <f>AVL_JoPer3</f>
        <v>45</v>
      </c>
      <c r="I30" s="2374">
        <f>H30*G30</f>
        <v>2449.0404000000003</v>
      </c>
      <c r="J30" s="2951">
        <f>AVL_SurPat3</f>
        <v>26</v>
      </c>
      <c r="K30" s="2380">
        <f>0.83*I30/AVL_SurPat3</f>
        <v>78.180905076923082</v>
      </c>
      <c r="L30" s="2282"/>
      <c r="M30" s="2282"/>
      <c r="N30" s="2282"/>
      <c r="O30" s="2282"/>
      <c r="P30" s="2282"/>
      <c r="Q30" s="2282"/>
      <c r="R30" s="2282"/>
      <c r="S30" s="2282"/>
      <c r="T30" s="2282"/>
      <c r="U30" s="2282"/>
      <c r="V30" s="2282"/>
      <c r="W30" s="2282"/>
      <c r="X30" s="2282"/>
      <c r="Y30" s="2282"/>
      <c r="Z30" s="2282"/>
      <c r="AI30" s="1369">
        <f>I30/SUM(I28:I30)</f>
        <v>0.23684210526315788</v>
      </c>
    </row>
    <row r="31" spans="1:35" x14ac:dyDescent="0.2">
      <c r="A31" s="2282"/>
      <c r="B31" s="2373"/>
      <c r="C31" s="2376"/>
      <c r="D31" s="2376"/>
      <c r="E31" s="2382" t="s">
        <v>838</v>
      </c>
      <c r="F31" s="2383"/>
      <c r="G31" s="2384"/>
      <c r="H31" s="2383"/>
      <c r="I31" s="2385"/>
      <c r="J31" s="2386">
        <f>SA_SFP_HerbeVL</f>
        <v>26</v>
      </c>
      <c r="K31" s="2387">
        <f>SUM(K28:K30)</f>
        <v>554.98790641025641</v>
      </c>
      <c r="L31" s="2282"/>
      <c r="M31" s="2282"/>
      <c r="N31" s="2282"/>
      <c r="O31" s="2282"/>
      <c r="P31" s="2282"/>
      <c r="Q31" s="2282"/>
      <c r="R31" s="2282"/>
      <c r="S31" s="2282"/>
      <c r="T31" s="2282"/>
      <c r="U31" s="2282"/>
      <c r="V31" s="2282"/>
      <c r="W31" s="2282"/>
      <c r="X31" s="2282"/>
      <c r="Y31" s="2282"/>
      <c r="Z31" s="2282"/>
      <c r="AA31" s="1105">
        <f>Paramètres!V5</f>
        <v>600</v>
      </c>
      <c r="AB31" s="17" t="s">
        <v>841</v>
      </c>
      <c r="AC31" s="17"/>
      <c r="AD31" s="17"/>
      <c r="AE31" s="17" t="s">
        <v>726</v>
      </c>
    </row>
    <row r="32" spans="1:35" ht="16.5" thickBot="1" x14ac:dyDescent="0.3">
      <c r="A32" s="2282"/>
      <c r="B32" s="3103" t="str">
        <f>IF(K31&lt;AA31,"",AE31&amp;AA31&amp;AE33)</f>
        <v/>
      </c>
      <c r="C32" s="3104"/>
      <c r="D32" s="3104"/>
      <c r="E32" s="3104"/>
      <c r="F32" s="3104"/>
      <c r="G32" s="3104"/>
      <c r="H32" s="3104"/>
      <c r="I32" s="3104"/>
      <c r="J32" s="3104"/>
      <c r="K32" s="3105"/>
      <c r="L32" s="2282"/>
      <c r="M32" s="2282"/>
      <c r="N32" s="2282"/>
      <c r="O32" s="2282"/>
      <c r="P32" s="2282"/>
      <c r="Q32" s="2282"/>
      <c r="R32" s="2282"/>
      <c r="S32" s="2282"/>
      <c r="T32" s="2282"/>
      <c r="U32" s="2282"/>
      <c r="V32" s="2282"/>
      <c r="W32" s="2282"/>
      <c r="X32" s="2282"/>
      <c r="Y32" s="2282"/>
      <c r="Z32" s="2282"/>
      <c r="AE32" s="17" t="s">
        <v>727</v>
      </c>
      <c r="AF32" s="17"/>
    </row>
    <row r="33" spans="1:35" ht="13.5" thickTop="1" x14ac:dyDescent="0.2">
      <c r="A33" s="2282"/>
      <c r="B33" s="2373"/>
      <c r="C33" s="3109" t="s">
        <v>208</v>
      </c>
      <c r="D33" s="3109"/>
      <c r="E33" s="3109"/>
      <c r="F33" s="2374"/>
      <c r="G33" s="2388"/>
      <c r="H33" s="2374"/>
      <c r="I33" s="2374"/>
      <c r="J33" s="2374"/>
      <c r="K33" s="2375"/>
      <c r="L33" s="2282"/>
      <c r="M33" s="2282"/>
      <c r="N33" s="2282"/>
      <c r="O33" s="2282"/>
      <c r="P33" s="2282"/>
      <c r="Q33" s="2282"/>
      <c r="R33" s="2282"/>
      <c r="S33" s="2282"/>
      <c r="T33" s="2282"/>
      <c r="U33" s="2282"/>
      <c r="V33" s="2282"/>
      <c r="W33" s="2282"/>
      <c r="X33" s="2282"/>
      <c r="Y33" s="2282"/>
      <c r="Z33" s="2282"/>
      <c r="AE33" s="1495" t="s">
        <v>1088</v>
      </c>
      <c r="AI33" s="1369" t="s">
        <v>1780</v>
      </c>
    </row>
    <row r="34" spans="1:35" x14ac:dyDescent="0.2">
      <c r="A34" s="2282"/>
      <c r="B34" s="2373"/>
      <c r="C34" s="2376"/>
      <c r="D34" s="2376"/>
      <c r="E34" s="2377" t="s">
        <v>836</v>
      </c>
      <c r="F34" s="2374"/>
      <c r="G34" s="2389">
        <f>TA_UgbVL+TA_UgbGenAn1+Saisies_Exploitation!$M$72</f>
        <v>24.15</v>
      </c>
      <c r="H34" s="2374">
        <f>ATA_JoPer1</f>
        <v>100</v>
      </c>
      <c r="I34" s="2374">
        <f>H34*G34</f>
        <v>2415</v>
      </c>
      <c r="J34" s="2951">
        <f>ATA_SurPat1</f>
        <v>9</v>
      </c>
      <c r="K34" s="2380">
        <f>I34/ATA_SurPat1</f>
        <v>268.33333333333331</v>
      </c>
      <c r="L34" s="2282"/>
      <c r="M34" s="2282"/>
      <c r="N34" s="2282"/>
      <c r="O34" s="2282"/>
      <c r="P34" s="2282"/>
      <c r="Q34" s="2282"/>
      <c r="R34" s="2282"/>
      <c r="S34" s="2282"/>
      <c r="T34" s="2282"/>
      <c r="U34" s="2282"/>
      <c r="V34" s="2282"/>
      <c r="W34" s="2282"/>
      <c r="X34" s="2282"/>
      <c r="Y34" s="2282"/>
      <c r="Z34" s="2282"/>
      <c r="AI34" s="1369">
        <f>I34/SUM(I34:I36)</f>
        <v>0.47225501770956319</v>
      </c>
    </row>
    <row r="35" spans="1:35" x14ac:dyDescent="0.2">
      <c r="A35" s="2282"/>
      <c r="B35" s="2373"/>
      <c r="C35" s="2376"/>
      <c r="D35" s="2376"/>
      <c r="E35" s="2377" t="s">
        <v>839</v>
      </c>
      <c r="F35" s="2374"/>
      <c r="G35" s="2389">
        <f>TA_UgbVL+TA_UgbGenAn1+Saisies_Exploitation!$M$72</f>
        <v>24.15</v>
      </c>
      <c r="H35" s="2374">
        <f>ATA_JoPer2</f>
        <v>51</v>
      </c>
      <c r="I35" s="2374">
        <f>H35*G35</f>
        <v>1231.6499999999999</v>
      </c>
      <c r="J35" s="2951">
        <f>ATA_SurPat2</f>
        <v>14</v>
      </c>
      <c r="K35" s="2380">
        <f>I35/ATA_SurPat2</f>
        <v>87.974999999999994</v>
      </c>
      <c r="L35" s="2282"/>
      <c r="M35" s="2282"/>
      <c r="N35" s="2282"/>
      <c r="O35" s="2282"/>
      <c r="P35" s="2282"/>
      <c r="Q35" s="2282"/>
      <c r="R35" s="2282"/>
      <c r="S35" s="2282"/>
      <c r="T35" s="2282"/>
      <c r="U35" s="2282"/>
      <c r="V35" s="2282"/>
      <c r="W35" s="2282"/>
      <c r="X35" s="2282"/>
      <c r="Y35" s="2282"/>
      <c r="Z35" s="2282"/>
      <c r="AI35" s="1369">
        <f>I35/SUM(I34:I36)</f>
        <v>0.2408500590318772</v>
      </c>
    </row>
    <row r="36" spans="1:35" x14ac:dyDescent="0.2">
      <c r="A36" s="2282"/>
      <c r="B36" s="2373"/>
      <c r="C36" s="2376"/>
      <c r="D36" s="2376"/>
      <c r="E36" s="2381" t="s">
        <v>1205</v>
      </c>
      <c r="F36" s="2374"/>
      <c r="G36" s="2389">
        <f>TA_UgbVL+TA_UgbGenAn1+Saisies_Exploitation!$M$72</f>
        <v>24.15</v>
      </c>
      <c r="H36" s="2374">
        <f>ATA_JoPer3</f>
        <v>60.75</v>
      </c>
      <c r="I36" s="2374">
        <f>H36*G36</f>
        <v>1467.1125</v>
      </c>
      <c r="J36" s="2951">
        <f>ATA_SurPat3</f>
        <v>18</v>
      </c>
      <c r="K36" s="2380">
        <f>I36/ATA_SurPat3</f>
        <v>81.506249999999994</v>
      </c>
      <c r="L36" s="2282"/>
      <c r="M36" s="2282"/>
      <c r="N36" s="2282"/>
      <c r="O36" s="2282"/>
      <c r="P36" s="2282"/>
      <c r="Q36" s="2282"/>
      <c r="R36" s="2282"/>
      <c r="S36" s="2282"/>
      <c r="T36" s="2282"/>
      <c r="U36" s="2282"/>
      <c r="V36" s="2282"/>
      <c r="W36" s="2282"/>
      <c r="X36" s="2282"/>
      <c r="Y36" s="2282"/>
      <c r="Z36" s="2282"/>
      <c r="AI36" s="1369">
        <f>I36/SUM(I34:I36)</f>
        <v>0.28689492325855964</v>
      </c>
    </row>
    <row r="37" spans="1:35" x14ac:dyDescent="0.2">
      <c r="A37" s="2282"/>
      <c r="B37" s="2373"/>
      <c r="C37" s="2376"/>
      <c r="D37" s="2376"/>
      <c r="E37" s="2382" t="s">
        <v>840</v>
      </c>
      <c r="F37" s="2383"/>
      <c r="G37" s="2383"/>
      <c r="H37" s="2383"/>
      <c r="I37" s="2385"/>
      <c r="J37" s="2386">
        <f>SA_SFP_HerbeVAL</f>
        <v>18</v>
      </c>
      <c r="K37" s="2387">
        <f>SUM(K34:K36)</f>
        <v>437.8145833333333</v>
      </c>
      <c r="L37" s="2282"/>
      <c r="M37" s="2282"/>
      <c r="N37" s="2282"/>
      <c r="O37" s="2282"/>
      <c r="P37" s="2282"/>
      <c r="Q37" s="2282"/>
      <c r="R37" s="2282"/>
      <c r="S37" s="2282"/>
      <c r="T37" s="2282"/>
      <c r="U37" s="2282"/>
      <c r="V37" s="2282"/>
      <c r="W37" s="2282"/>
      <c r="X37" s="2282"/>
      <c r="Y37" s="2282"/>
      <c r="Z37" s="2282"/>
    </row>
    <row r="38" spans="1:35" ht="16.5" thickBot="1" x14ac:dyDescent="0.3">
      <c r="A38" s="2282"/>
      <c r="B38" s="3103" t="str">
        <f>IF(K37&lt;AA31,"",AE32&amp;AA31&amp;AE33)</f>
        <v/>
      </c>
      <c r="C38" s="3104"/>
      <c r="D38" s="3104" t="s">
        <v>207</v>
      </c>
      <c r="E38" s="3104"/>
      <c r="F38" s="3104"/>
      <c r="G38" s="3104"/>
      <c r="H38" s="3104"/>
      <c r="I38" s="3104"/>
      <c r="J38" s="3104"/>
      <c r="K38" s="3105">
        <f>K31+K37</f>
        <v>992.80248974358972</v>
      </c>
      <c r="L38" s="2282"/>
      <c r="M38" s="2282"/>
      <c r="N38" s="2282"/>
      <c r="O38" s="2282"/>
      <c r="P38" s="2282"/>
      <c r="Q38" s="2282"/>
      <c r="R38" s="2282"/>
      <c r="S38" s="2282"/>
      <c r="T38" s="2282"/>
      <c r="U38" s="2282"/>
      <c r="V38" s="2282"/>
      <c r="W38" s="2282"/>
      <c r="X38" s="2282"/>
      <c r="Y38" s="2282"/>
      <c r="Z38" s="2282"/>
      <c r="AI38" s="1369" t="s">
        <v>1781</v>
      </c>
    </row>
    <row r="39" spans="1:35" ht="14.25" thickTop="1" thickBot="1" x14ac:dyDescent="0.25">
      <c r="A39" s="2282"/>
      <c r="B39" s="2283"/>
      <c r="C39" s="2286"/>
      <c r="D39" s="2287"/>
      <c r="E39" s="2287"/>
      <c r="F39" s="2288"/>
      <c r="G39" s="2288"/>
      <c r="H39" s="2288"/>
      <c r="I39" s="2288"/>
      <c r="J39" s="2288"/>
      <c r="K39" s="2288"/>
      <c r="L39" s="2282"/>
      <c r="M39" s="2282"/>
      <c r="N39" s="2282"/>
      <c r="O39" s="2282"/>
      <c r="P39" s="2282"/>
      <c r="Q39" s="2282"/>
      <c r="R39" s="2282"/>
      <c r="S39" s="2282"/>
      <c r="T39" s="2282"/>
      <c r="U39" s="2282"/>
      <c r="V39" s="2282"/>
      <c r="W39" s="2282"/>
      <c r="X39" s="2282"/>
      <c r="Y39" s="2282"/>
      <c r="Z39" s="2282"/>
      <c r="AI39" s="1369">
        <f>IF(TA_NbVaches=0,Chargements!AI28,Chargements!AI34)</f>
        <v>0.47225501770956319</v>
      </c>
    </row>
    <row r="40" spans="1:35" ht="13.5" thickTop="1" x14ac:dyDescent="0.2">
      <c r="A40" s="2282"/>
      <c r="B40" s="2283"/>
      <c r="C40" s="2286"/>
      <c r="D40" s="2287"/>
      <c r="E40" s="2287"/>
      <c r="F40" s="2322" t="s">
        <v>595</v>
      </c>
      <c r="G40" s="2323" t="s">
        <v>504</v>
      </c>
      <c r="H40" s="2323" t="s">
        <v>758</v>
      </c>
      <c r="I40" s="2323" t="s">
        <v>759</v>
      </c>
      <c r="J40" s="2323" t="s">
        <v>760</v>
      </c>
      <c r="K40" s="2324" t="s">
        <v>596</v>
      </c>
      <c r="L40" s="2282"/>
      <c r="M40" s="2282"/>
      <c r="N40" s="2282"/>
      <c r="O40" s="2282"/>
      <c r="P40" s="2282"/>
      <c r="Q40" s="2282"/>
      <c r="R40" s="2282"/>
      <c r="S40" s="2282"/>
      <c r="T40" s="2282"/>
      <c r="U40" s="2282"/>
      <c r="V40" s="2282"/>
      <c r="W40" s="2282"/>
      <c r="X40" s="2282"/>
      <c r="Y40" s="2282"/>
      <c r="Z40" s="2282"/>
      <c r="AI40" s="1369">
        <f>IF(TA_NbVaches=0,Chargements!AI29,Chargements!AI35)</f>
        <v>0.2408500590318772</v>
      </c>
    </row>
    <row r="41" spans="1:35" ht="13.5" thickBot="1" x14ac:dyDescent="0.25">
      <c r="A41" s="2282"/>
      <c r="B41" s="2283"/>
      <c r="C41" s="2286"/>
      <c r="D41" s="2287"/>
      <c r="E41" s="2287"/>
      <c r="F41" s="2325"/>
      <c r="G41" s="2326"/>
      <c r="H41" s="2327" t="s">
        <v>757</v>
      </c>
      <c r="I41" s="2327" t="s">
        <v>757</v>
      </c>
      <c r="J41" s="2327" t="s">
        <v>847</v>
      </c>
      <c r="K41" s="2328" t="s">
        <v>2435</v>
      </c>
      <c r="L41" s="2282"/>
      <c r="M41" s="2282"/>
      <c r="N41" s="2282"/>
      <c r="O41" s="2282"/>
      <c r="P41" s="2282"/>
      <c r="Q41" s="2282"/>
      <c r="R41" s="2282"/>
      <c r="S41" s="2282"/>
      <c r="T41" s="2282"/>
      <c r="U41" s="2282"/>
      <c r="V41" s="2282"/>
      <c r="W41" s="2282"/>
      <c r="X41" s="2282"/>
      <c r="Y41" s="2282"/>
      <c r="Z41" s="2282"/>
      <c r="AI41" s="1369">
        <f>IF(TA_NbVaches=0,Chargements!AI30,Chargements!AI36)</f>
        <v>0.28689492325855964</v>
      </c>
    </row>
    <row r="42" spans="1:35" ht="13.5" thickTop="1" x14ac:dyDescent="0.2">
      <c r="A42" s="2282"/>
      <c r="B42" s="3110" t="s">
        <v>599</v>
      </c>
      <c r="C42" s="3111"/>
      <c r="D42" s="3111"/>
      <c r="E42" s="3111"/>
      <c r="F42" s="2329"/>
      <c r="G42" s="2329"/>
      <c r="H42" s="2329"/>
      <c r="I42" s="2329"/>
      <c r="J42" s="2329"/>
      <c r="K42" s="2330"/>
      <c r="L42" s="2282"/>
      <c r="M42" s="2282"/>
      <c r="N42" s="2282"/>
      <c r="O42" s="2282"/>
      <c r="P42" s="2282"/>
      <c r="Q42" s="2282"/>
      <c r="R42" s="2282"/>
      <c r="S42" s="2282"/>
      <c r="T42" s="2282"/>
      <c r="U42" s="2282"/>
      <c r="V42" s="2282"/>
      <c r="W42" s="2282"/>
      <c r="X42" s="2282"/>
      <c r="Y42" s="2282"/>
      <c r="Z42" s="2282"/>
    </row>
    <row r="43" spans="1:35" x14ac:dyDescent="0.2">
      <c r="A43" s="2282"/>
      <c r="B43" s="2331"/>
      <c r="C43" s="3099" t="s">
        <v>439</v>
      </c>
      <c r="D43" s="3099"/>
      <c r="E43" s="3099"/>
      <c r="F43" s="2332"/>
      <c r="G43" s="2332"/>
      <c r="H43" s="2332"/>
      <c r="I43" s="2332"/>
      <c r="J43" s="2332"/>
      <c r="K43" s="2333"/>
      <c r="L43" s="2282"/>
      <c r="M43" s="2282"/>
      <c r="N43" s="2282"/>
      <c r="O43" s="2282"/>
      <c r="P43" s="2282"/>
      <c r="Q43" s="2282"/>
      <c r="R43" s="2282"/>
      <c r="S43" s="2282"/>
      <c r="T43" s="2282"/>
      <c r="U43" s="2282"/>
      <c r="V43" s="2282"/>
      <c r="W43" s="2282"/>
      <c r="X43" s="2282"/>
      <c r="Y43" s="2282"/>
      <c r="Z43" s="2282"/>
    </row>
    <row r="44" spans="1:35" x14ac:dyDescent="0.2">
      <c r="A44" s="2282"/>
      <c r="B44" s="2331"/>
      <c r="C44" s="2334"/>
      <c r="D44" s="3101" t="s">
        <v>600</v>
      </c>
      <c r="E44" s="3101"/>
      <c r="F44" s="2319">
        <f>VL_NbGenAn1</f>
        <v>16</v>
      </c>
      <c r="G44" s="2335">
        <f>VL_UgbGenAn1</f>
        <v>4.8</v>
      </c>
      <c r="H44" s="2319">
        <f>AGL_MoHeAn1*30.4</f>
        <v>121.6</v>
      </c>
      <c r="I44" s="2319">
        <f>H44*G44</f>
        <v>583.67999999999995</v>
      </c>
      <c r="J44" s="2332"/>
      <c r="K44" s="2333"/>
      <c r="L44" s="2282"/>
      <c r="M44" s="2282"/>
      <c r="N44" s="2282"/>
      <c r="O44" s="2282"/>
      <c r="P44" s="2282"/>
      <c r="Q44" s="2282"/>
      <c r="R44" s="2282"/>
      <c r="S44" s="2282"/>
      <c r="T44" s="2282"/>
      <c r="U44" s="2282"/>
      <c r="V44" s="2282"/>
      <c r="W44" s="2282"/>
      <c r="X44" s="2282"/>
      <c r="Y44" s="2282"/>
      <c r="Z44" s="2282"/>
    </row>
    <row r="45" spans="1:35" x14ac:dyDescent="0.2">
      <c r="A45" s="2282"/>
      <c r="B45" s="2331"/>
      <c r="C45" s="2334"/>
      <c r="D45" s="3101" t="s">
        <v>601</v>
      </c>
      <c r="E45" s="3101"/>
      <c r="F45" s="2319">
        <f>VL_NbGenAn2</f>
        <v>16</v>
      </c>
      <c r="G45" s="2335">
        <f>VL_UgbGenAn2</f>
        <v>12</v>
      </c>
      <c r="H45" s="2319">
        <f>AGL_MoHeAn2*30.4</f>
        <v>182.39999999999998</v>
      </c>
      <c r="I45" s="2319">
        <f>H45*G45</f>
        <v>2188.7999999999997</v>
      </c>
      <c r="J45" s="2332"/>
      <c r="K45" s="2333"/>
      <c r="L45" s="2282"/>
      <c r="M45" s="2282"/>
      <c r="N45" s="2282"/>
      <c r="O45" s="2282"/>
      <c r="P45" s="2282"/>
      <c r="Q45" s="2282"/>
      <c r="R45" s="2282"/>
      <c r="S45" s="2282"/>
      <c r="T45" s="2282"/>
      <c r="U45" s="2282"/>
      <c r="V45" s="2282"/>
      <c r="W45" s="2282"/>
      <c r="X45" s="2282"/>
      <c r="Y45" s="2282"/>
      <c r="Z45" s="2282"/>
    </row>
    <row r="46" spans="1:35" x14ac:dyDescent="0.2">
      <c r="A46" s="2282"/>
      <c r="B46" s="2331"/>
      <c r="C46" s="2334"/>
      <c r="D46" s="3112" t="s">
        <v>602</v>
      </c>
      <c r="E46" s="3112"/>
      <c r="F46" s="2319">
        <f>VL_NbGenAn3</f>
        <v>15</v>
      </c>
      <c r="G46" s="2335">
        <f>VL_UgbGenAn3</f>
        <v>6</v>
      </c>
      <c r="H46" s="2319">
        <f>AGL_MoHeAn3*30.4</f>
        <v>182.39999999999998</v>
      </c>
      <c r="I46" s="2319">
        <f>H46*G46</f>
        <v>1094.3999999999999</v>
      </c>
      <c r="J46" s="2332"/>
      <c r="K46" s="2333"/>
      <c r="L46" s="2282"/>
      <c r="M46" s="2282"/>
      <c r="N46" s="2282"/>
      <c r="O46" s="2282"/>
      <c r="P46" s="2282"/>
      <c r="Q46" s="2282"/>
      <c r="R46" s="2282"/>
      <c r="S46" s="2282"/>
      <c r="T46" s="2282"/>
      <c r="U46" s="2282"/>
      <c r="V46" s="2282"/>
      <c r="W46" s="2282"/>
      <c r="X46" s="2282"/>
      <c r="Y46" s="2282"/>
      <c r="Z46" s="2282"/>
    </row>
    <row r="47" spans="1:35" x14ac:dyDescent="0.2">
      <c r="A47" s="2282"/>
      <c r="B47" s="2331"/>
      <c r="C47" s="2334"/>
      <c r="D47" s="3099" t="s">
        <v>603</v>
      </c>
      <c r="E47" s="3099"/>
      <c r="F47" s="2336">
        <f>SUM(F44:F46)</f>
        <v>47</v>
      </c>
      <c r="G47" s="2336"/>
      <c r="H47" s="2336"/>
      <c r="I47" s="2336">
        <f>SUM(I44:I46)</f>
        <v>3866.8799999999992</v>
      </c>
      <c r="J47" s="2337"/>
      <c r="K47" s="2333"/>
      <c r="L47" s="2282"/>
      <c r="M47" s="2282"/>
      <c r="N47" s="2282"/>
      <c r="O47" s="2282"/>
      <c r="P47" s="2282"/>
      <c r="Q47" s="2282"/>
      <c r="R47" s="2282"/>
      <c r="S47" s="2282"/>
      <c r="T47" s="2282"/>
      <c r="U47" s="2282"/>
      <c r="V47" s="2282"/>
      <c r="W47" s="2282"/>
      <c r="X47" s="2282"/>
      <c r="Y47" s="2282"/>
      <c r="Z47" s="2282"/>
    </row>
    <row r="48" spans="1:35" ht="5.0999999999999996" customHeight="1" x14ac:dyDescent="0.2">
      <c r="A48" s="2282"/>
      <c r="B48" s="2331"/>
      <c r="C48" s="2334"/>
      <c r="D48" s="2334"/>
      <c r="E48" s="2334"/>
      <c r="F48" s="2319"/>
      <c r="G48" s="2335"/>
      <c r="H48" s="2319"/>
      <c r="I48" s="2319"/>
      <c r="J48" s="2332"/>
      <c r="K48" s="2333"/>
      <c r="L48" s="2282"/>
      <c r="M48" s="2282"/>
      <c r="N48" s="2282"/>
      <c r="O48" s="2282"/>
      <c r="P48" s="2282"/>
      <c r="Q48" s="2282"/>
      <c r="R48" s="2282"/>
      <c r="S48" s="2282"/>
      <c r="T48" s="2282"/>
      <c r="U48" s="2282"/>
      <c r="V48" s="2282"/>
      <c r="W48" s="2282"/>
      <c r="X48" s="2282"/>
      <c r="Y48" s="2282"/>
      <c r="Z48" s="2282"/>
    </row>
    <row r="49" spans="1:28" x14ac:dyDescent="0.2">
      <c r="A49" s="2282"/>
      <c r="B49" s="2331"/>
      <c r="C49" s="3099" t="s">
        <v>604</v>
      </c>
      <c r="D49" s="3099"/>
      <c r="E49" s="3099"/>
      <c r="F49" s="2319"/>
      <c r="G49" s="2335"/>
      <c r="H49" s="2319"/>
      <c r="I49" s="2319"/>
      <c r="J49" s="2332"/>
      <c r="K49" s="2333"/>
      <c r="L49" s="2282"/>
      <c r="M49" s="2282"/>
      <c r="N49" s="2282"/>
      <c r="O49" s="2282"/>
      <c r="P49" s="2282"/>
      <c r="Q49" s="2282"/>
      <c r="R49" s="2282"/>
      <c r="S49" s="2282"/>
      <c r="T49" s="2282"/>
      <c r="U49" s="2282"/>
      <c r="V49" s="2282"/>
      <c r="W49" s="2282"/>
      <c r="X49" s="2282"/>
      <c r="Y49" s="2282"/>
      <c r="Z49" s="2282"/>
    </row>
    <row r="50" spans="1:28" x14ac:dyDescent="0.2">
      <c r="A50" s="2282"/>
      <c r="B50" s="2331"/>
      <c r="C50" s="2334"/>
      <c r="D50" s="3112" t="s">
        <v>605</v>
      </c>
      <c r="E50" s="3112"/>
      <c r="F50" s="2319">
        <f>TA_NbGenAn2</f>
        <v>6</v>
      </c>
      <c r="G50" s="2335">
        <f>TA_UgbGenAn2</f>
        <v>3.3000000000000003</v>
      </c>
      <c r="H50" s="2319">
        <f>IF(ATA_MoHeGe2=0,0,(ATA_MoHeGe2+4)*30.4)</f>
        <v>212.79999999999998</v>
      </c>
      <c r="I50" s="2319">
        <f>H50*G50</f>
        <v>702.24</v>
      </c>
      <c r="J50" s="2332"/>
      <c r="K50" s="2333"/>
      <c r="L50" s="2282"/>
      <c r="M50" s="2282"/>
      <c r="N50" s="2282"/>
      <c r="O50" s="2282"/>
      <c r="P50" s="2282"/>
      <c r="Q50" s="2282"/>
      <c r="R50" s="2282"/>
      <c r="S50" s="2282"/>
      <c r="T50" s="2282"/>
      <c r="U50" s="2282"/>
      <c r="V50" s="2282"/>
      <c r="W50" s="2282"/>
      <c r="X50" s="2282"/>
      <c r="Y50" s="2282"/>
      <c r="Z50" s="2282"/>
      <c r="AA50" s="630" t="s">
        <v>608</v>
      </c>
      <c r="AB50" s="630" t="s">
        <v>607</v>
      </c>
    </row>
    <row r="51" spans="1:28" x14ac:dyDescent="0.2">
      <c r="A51" s="2282"/>
      <c r="B51" s="2331"/>
      <c r="C51" s="2334"/>
      <c r="D51" s="3112" t="s">
        <v>606</v>
      </c>
      <c r="E51" s="3112"/>
      <c r="F51" s="2319">
        <f>TA_NbGenAn3</f>
        <v>6</v>
      </c>
      <c r="G51" s="2335">
        <f>TA_UgbGenAn3</f>
        <v>4.1999999999999993</v>
      </c>
      <c r="H51" s="2319">
        <f>AA51+AB51</f>
        <v>212.79999999999998</v>
      </c>
      <c r="I51" s="2319">
        <f>H51*G51</f>
        <v>893.75999999999976</v>
      </c>
      <c r="J51" s="2332"/>
      <c r="K51" s="2333"/>
      <c r="L51" s="2282"/>
      <c r="M51" s="2282"/>
      <c r="N51" s="2282"/>
      <c r="O51" s="2282"/>
      <c r="P51" s="2282"/>
      <c r="Q51" s="2282"/>
      <c r="R51" s="2282"/>
      <c r="S51" s="2282"/>
      <c r="T51" s="2282"/>
      <c r="U51" s="2282"/>
      <c r="V51" s="2282"/>
      <c r="W51" s="2282"/>
      <c r="X51" s="2282"/>
      <c r="Y51" s="2282"/>
      <c r="Z51" s="2282"/>
      <c r="AA51" s="802">
        <f>IF(ATA_MoHeG36=0,0,(ATA_MoHeG36+4)*30.4)</f>
        <v>212.79999999999998</v>
      </c>
      <c r="AB51" s="803">
        <f>IF(ATA_Gen33FH=0,0,(ATA_Gen33FH-1)*100)</f>
        <v>0</v>
      </c>
    </row>
    <row r="52" spans="1:28" x14ac:dyDescent="0.2">
      <c r="A52" s="2282"/>
      <c r="B52" s="2331"/>
      <c r="C52" s="2334"/>
      <c r="D52" s="3099" t="s">
        <v>609</v>
      </c>
      <c r="E52" s="3099"/>
      <c r="F52" s="2336">
        <f>SUM(F50:F51)</f>
        <v>12</v>
      </c>
      <c r="G52" s="2319"/>
      <c r="H52" s="2336"/>
      <c r="I52" s="2336">
        <f>SUM(I50:I51)</f>
        <v>1595.9999999999998</v>
      </c>
      <c r="J52" s="2337"/>
      <c r="K52" s="2333"/>
      <c r="L52" s="2282"/>
      <c r="M52" s="2282"/>
      <c r="N52" s="2282"/>
      <c r="O52" s="2282"/>
      <c r="P52" s="2282"/>
      <c r="Q52" s="2282"/>
      <c r="R52" s="2282"/>
      <c r="S52" s="2282"/>
      <c r="T52" s="2282"/>
      <c r="U52" s="2282"/>
      <c r="V52" s="2282"/>
      <c r="W52" s="2282"/>
      <c r="X52" s="2282"/>
      <c r="Y52" s="2282"/>
      <c r="Z52" s="2282"/>
    </row>
    <row r="53" spans="1:28" ht="5.0999999999999996" customHeight="1" x14ac:dyDescent="0.2">
      <c r="A53" s="2282"/>
      <c r="B53" s="2331"/>
      <c r="C53" s="2334"/>
      <c r="D53" s="2334"/>
      <c r="E53" s="2334"/>
      <c r="F53" s="2319"/>
      <c r="G53" s="2335"/>
      <c r="H53" s="2319"/>
      <c r="I53" s="2319"/>
      <c r="J53" s="2332"/>
      <c r="K53" s="2333"/>
      <c r="L53" s="2282"/>
      <c r="M53" s="2282"/>
      <c r="N53" s="2282"/>
      <c r="O53" s="2282"/>
      <c r="P53" s="2282"/>
      <c r="Q53" s="2282"/>
      <c r="R53" s="2282"/>
      <c r="S53" s="2282"/>
      <c r="T53" s="2282"/>
      <c r="U53" s="2282"/>
      <c r="V53" s="2282"/>
      <c r="W53" s="2282"/>
      <c r="X53" s="2282"/>
      <c r="Y53" s="2282"/>
      <c r="Z53" s="2282"/>
    </row>
    <row r="54" spans="1:28" x14ac:dyDescent="0.2">
      <c r="A54" s="2282"/>
      <c r="B54" s="2331"/>
      <c r="C54" s="3099" t="s">
        <v>761</v>
      </c>
      <c r="D54" s="3099"/>
      <c r="E54" s="3099"/>
      <c r="F54" s="2319"/>
      <c r="G54" s="2335"/>
      <c r="H54" s="2319"/>
      <c r="I54" s="2319"/>
      <c r="J54" s="2332"/>
      <c r="K54" s="2333"/>
      <c r="L54" s="2282"/>
      <c r="M54" s="2282"/>
      <c r="N54" s="2282"/>
      <c r="O54" s="2282"/>
      <c r="P54" s="2282"/>
      <c r="Q54" s="2282"/>
      <c r="R54" s="2282"/>
      <c r="S54" s="2282"/>
      <c r="T54" s="2282"/>
      <c r="U54" s="2282"/>
      <c r="V54" s="2282"/>
      <c r="W54" s="2282"/>
      <c r="X54" s="2282"/>
      <c r="Y54" s="2282"/>
      <c r="Z54" s="2282"/>
    </row>
    <row r="55" spans="1:28" x14ac:dyDescent="0.2">
      <c r="A55" s="2282"/>
      <c r="B55" s="2331"/>
      <c r="C55" s="2338"/>
      <c r="D55" s="3112" t="s">
        <v>17</v>
      </c>
      <c r="E55" s="3112"/>
      <c r="F55" s="2319">
        <f>EN_NbMalAn1L</f>
        <v>0</v>
      </c>
      <c r="G55" s="2335">
        <f>Saisies_Exploitation!L72</f>
        <v>0</v>
      </c>
      <c r="H55" s="2319">
        <f>IF(F55=0,0,4*30.4)</f>
        <v>0</v>
      </c>
      <c r="I55" s="2319">
        <f t="shared" ref="I55:I60" si="1">H55*G55</f>
        <v>0</v>
      </c>
      <c r="J55" s="2332"/>
      <c r="K55" s="2333"/>
      <c r="L55" s="2282"/>
      <c r="M55" s="2282"/>
      <c r="N55" s="2282"/>
      <c r="O55" s="2282"/>
      <c r="P55" s="2282"/>
      <c r="Q55" s="2282"/>
      <c r="R55" s="2282"/>
      <c r="S55" s="2282"/>
      <c r="T55" s="2282"/>
      <c r="U55" s="2282"/>
      <c r="V55" s="2282"/>
      <c r="W55" s="2282"/>
      <c r="X55" s="2282"/>
      <c r="Y55" s="2282"/>
      <c r="Z55" s="2282"/>
    </row>
    <row r="56" spans="1:28" x14ac:dyDescent="0.2">
      <c r="A56" s="2282"/>
      <c r="B56" s="2331"/>
      <c r="C56" s="2334"/>
      <c r="D56" s="3112" t="s">
        <v>605</v>
      </c>
      <c r="E56" s="3112"/>
      <c r="F56" s="2319">
        <f>EN_NbMalAn2</f>
        <v>0</v>
      </c>
      <c r="G56" s="2335">
        <f>EN_UgbMalAn2</f>
        <v>0</v>
      </c>
      <c r="H56" s="2319">
        <f>IF(F56=0,0,6*30.4)</f>
        <v>0</v>
      </c>
      <c r="I56" s="2319">
        <f t="shared" si="1"/>
        <v>0</v>
      </c>
      <c r="J56" s="2332"/>
      <c r="K56" s="2333"/>
      <c r="L56" s="2282"/>
      <c r="M56" s="2282"/>
      <c r="N56" s="2282"/>
      <c r="O56" s="2282"/>
      <c r="P56" s="2282"/>
      <c r="Q56" s="2282"/>
      <c r="R56" s="2282"/>
      <c r="S56" s="2282"/>
      <c r="T56" s="2282"/>
      <c r="U56" s="2282"/>
      <c r="V56" s="2282"/>
      <c r="W56" s="2282"/>
      <c r="X56" s="2282"/>
      <c r="Y56" s="2282"/>
      <c r="Z56" s="2282"/>
    </row>
    <row r="57" spans="1:28" x14ac:dyDescent="0.2">
      <c r="A57" s="2282"/>
      <c r="B57" s="2331"/>
      <c r="C57" s="2334"/>
      <c r="D57" s="2334" t="s">
        <v>606</v>
      </c>
      <c r="E57" s="2334" t="s">
        <v>295</v>
      </c>
      <c r="F57" s="2319">
        <f>EN_NbMal28m</f>
        <v>0</v>
      </c>
      <c r="G57" s="2335">
        <f>EN_UgbMal28m</f>
        <v>0</v>
      </c>
      <c r="H57" s="2319">
        <f>AEN_MaHeMo*30.4</f>
        <v>0</v>
      </c>
      <c r="I57" s="2319">
        <f t="shared" si="1"/>
        <v>0</v>
      </c>
      <c r="J57" s="2332"/>
      <c r="K57" s="2333"/>
      <c r="L57" s="2282"/>
      <c r="M57" s="2282"/>
      <c r="N57" s="2282"/>
      <c r="O57" s="2282"/>
      <c r="P57" s="2282"/>
      <c r="Q57" s="2282"/>
      <c r="R57" s="2282"/>
      <c r="S57" s="2282"/>
      <c r="T57" s="2282"/>
      <c r="U57" s="2282"/>
      <c r="V57" s="2282"/>
      <c r="W57" s="2282"/>
      <c r="X57" s="2282"/>
      <c r="Y57" s="2282"/>
      <c r="Z57" s="2282"/>
    </row>
    <row r="58" spans="1:28" x14ac:dyDescent="0.2">
      <c r="A58" s="2282"/>
      <c r="B58" s="2331"/>
      <c r="C58" s="2334"/>
      <c r="D58" s="2334"/>
      <c r="E58" s="2334" t="s">
        <v>296</v>
      </c>
      <c r="F58" s="2319">
        <f>EN_NbMal30m</f>
        <v>0</v>
      </c>
      <c r="G58" s="2335">
        <f>EN_UgbMal30m</f>
        <v>0</v>
      </c>
      <c r="H58" s="2319">
        <f>AEN_MaHeMo*30.4</f>
        <v>0</v>
      </c>
      <c r="I58" s="2319">
        <f t="shared" si="1"/>
        <v>0</v>
      </c>
      <c r="J58" s="2332"/>
      <c r="K58" s="2333"/>
      <c r="L58" s="2282"/>
      <c r="M58" s="2282"/>
      <c r="N58" s="2282"/>
      <c r="O58" s="2282"/>
      <c r="P58" s="2282"/>
      <c r="Q58" s="2282"/>
      <c r="R58" s="2282"/>
      <c r="S58" s="2282"/>
      <c r="T58" s="2282"/>
      <c r="U58" s="2282"/>
      <c r="V58" s="2282"/>
      <c r="W58" s="2282"/>
      <c r="X58" s="2282"/>
      <c r="Y58" s="2282"/>
      <c r="Z58" s="2282"/>
    </row>
    <row r="59" spans="1:28" x14ac:dyDescent="0.2">
      <c r="A59" s="2282"/>
      <c r="B59" s="2331"/>
      <c r="C59" s="2334"/>
      <c r="D59" s="2334"/>
      <c r="E59" s="2334" t="s">
        <v>297</v>
      </c>
      <c r="F59" s="2319">
        <f>EN_NbMal33m</f>
        <v>0</v>
      </c>
      <c r="G59" s="2335">
        <f>EN_UgbMal33m</f>
        <v>0</v>
      </c>
      <c r="H59" s="2319">
        <f>AEN_MaHeMo*30.4</f>
        <v>0</v>
      </c>
      <c r="I59" s="2319">
        <f t="shared" si="1"/>
        <v>0</v>
      </c>
      <c r="J59" s="2332"/>
      <c r="K59" s="2333"/>
      <c r="L59" s="2282"/>
      <c r="M59" s="2282"/>
      <c r="N59" s="2282"/>
      <c r="O59" s="2282"/>
      <c r="P59" s="2282"/>
      <c r="Q59" s="2282"/>
      <c r="R59" s="2282"/>
      <c r="S59" s="2282"/>
      <c r="T59" s="2282"/>
      <c r="U59" s="2282"/>
      <c r="V59" s="2282"/>
      <c r="W59" s="2282"/>
      <c r="X59" s="2282"/>
      <c r="Y59" s="2282"/>
      <c r="Z59" s="2282"/>
    </row>
    <row r="60" spans="1:28" x14ac:dyDescent="0.2">
      <c r="A60" s="2282"/>
      <c r="B60" s="2331"/>
      <c r="C60" s="2334"/>
      <c r="D60" s="2334"/>
      <c r="E60" s="2334" t="s">
        <v>298</v>
      </c>
      <c r="F60" s="2319">
        <f>EN_NbMal36m</f>
        <v>0</v>
      </c>
      <c r="G60" s="2335">
        <f>EN_UgbMal36m</f>
        <v>0</v>
      </c>
      <c r="H60" s="2319">
        <f>AEN_MaHeMo*30.4</f>
        <v>0</v>
      </c>
      <c r="I60" s="2319">
        <f t="shared" si="1"/>
        <v>0</v>
      </c>
      <c r="J60" s="2332"/>
      <c r="K60" s="2333"/>
      <c r="L60" s="2282"/>
      <c r="M60" s="2282"/>
      <c r="N60" s="2282"/>
      <c r="O60" s="2282"/>
      <c r="P60" s="2282"/>
      <c r="Q60" s="2282"/>
      <c r="R60" s="2282"/>
      <c r="S60" s="2282"/>
      <c r="T60" s="2282"/>
      <c r="U60" s="2282"/>
      <c r="V60" s="2282"/>
      <c r="W60" s="2282"/>
      <c r="X60" s="2282"/>
      <c r="Y60" s="2282"/>
      <c r="Z60" s="2282"/>
    </row>
    <row r="61" spans="1:28" x14ac:dyDescent="0.2">
      <c r="A61" s="2282"/>
      <c r="B61" s="2331"/>
      <c r="C61" s="2334"/>
      <c r="D61" s="3099" t="s">
        <v>610</v>
      </c>
      <c r="E61" s="3099"/>
      <c r="F61" s="2336">
        <f>SUM(F55:F60)</f>
        <v>0</v>
      </c>
      <c r="G61" s="2319"/>
      <c r="H61" s="2336"/>
      <c r="I61" s="2336">
        <f>SUM(I55:I60)</f>
        <v>0</v>
      </c>
      <c r="J61" s="2332"/>
      <c r="K61" s="2333"/>
      <c r="L61" s="2282"/>
      <c r="M61" s="2282"/>
      <c r="N61" s="2282"/>
      <c r="O61" s="2282"/>
      <c r="P61" s="2282"/>
      <c r="Q61" s="2282"/>
      <c r="R61" s="2282"/>
      <c r="S61" s="2282"/>
      <c r="T61" s="2282"/>
      <c r="U61" s="2282"/>
      <c r="V61" s="2282"/>
      <c r="W61" s="2282"/>
      <c r="X61" s="2282"/>
      <c r="Y61" s="2282"/>
      <c r="Z61" s="2282"/>
    </row>
    <row r="62" spans="1:28" ht="5.0999999999999996" customHeight="1" x14ac:dyDescent="0.2">
      <c r="A62" s="2282"/>
      <c r="B62" s="2331"/>
      <c r="C62" s="2334"/>
      <c r="D62" s="2334"/>
      <c r="E62" s="2334"/>
      <c r="F62" s="2319"/>
      <c r="G62" s="2335"/>
      <c r="H62" s="2319"/>
      <c r="I62" s="2319"/>
      <c r="J62" s="2332"/>
      <c r="K62" s="2333"/>
      <c r="L62" s="2282"/>
      <c r="M62" s="2282"/>
      <c r="N62" s="2282"/>
      <c r="O62" s="2282"/>
      <c r="P62" s="2282"/>
      <c r="Q62" s="2282"/>
      <c r="R62" s="2282"/>
      <c r="S62" s="2282"/>
      <c r="T62" s="2282"/>
      <c r="U62" s="2282"/>
      <c r="V62" s="2282"/>
      <c r="W62" s="2282"/>
      <c r="X62" s="2282"/>
      <c r="Y62" s="2282"/>
      <c r="Z62" s="2282"/>
    </row>
    <row r="63" spans="1:28" x14ac:dyDescent="0.2">
      <c r="A63" s="2282"/>
      <c r="B63" s="2331"/>
      <c r="C63" s="3099" t="s">
        <v>2221</v>
      </c>
      <c r="D63" s="3099"/>
      <c r="E63" s="3099"/>
      <c r="F63" s="2319"/>
      <c r="G63" s="2335"/>
      <c r="H63" s="2319"/>
      <c r="I63" s="2319"/>
      <c r="J63" s="2332"/>
      <c r="K63" s="2333"/>
      <c r="L63" s="2282"/>
      <c r="M63" s="2282"/>
      <c r="N63" s="2282"/>
      <c r="O63" s="2282"/>
      <c r="P63" s="2282"/>
      <c r="Q63" s="2282"/>
      <c r="R63" s="2282"/>
      <c r="S63" s="2282"/>
      <c r="T63" s="2282"/>
      <c r="U63" s="2282"/>
      <c r="V63" s="2282"/>
      <c r="W63" s="2282"/>
      <c r="X63" s="2282"/>
      <c r="Y63" s="2282"/>
      <c r="Z63" s="2282"/>
    </row>
    <row r="64" spans="1:28" x14ac:dyDescent="0.2">
      <c r="A64" s="2282"/>
      <c r="B64" s="2331"/>
      <c r="C64" s="2334"/>
      <c r="D64" s="3112" t="s">
        <v>605</v>
      </c>
      <c r="E64" s="3112"/>
      <c r="F64" s="2319">
        <f>Saisies_Exploitation!D$103</f>
        <v>0</v>
      </c>
      <c r="G64" s="2335">
        <f>Saisies_Exploitation!L$103</f>
        <v>0</v>
      </c>
      <c r="H64" s="2319">
        <f>IF(F64=0,0,6*30.4)</f>
        <v>0</v>
      </c>
      <c r="I64" s="2319">
        <f>H64*G64</f>
        <v>0</v>
      </c>
      <c r="J64" s="2332"/>
      <c r="K64" s="2333"/>
      <c r="L64" s="2282"/>
      <c r="M64" s="2282"/>
      <c r="N64" s="2282"/>
      <c r="O64" s="2282"/>
      <c r="P64" s="2282"/>
      <c r="Q64" s="2282"/>
      <c r="R64" s="2282"/>
      <c r="S64" s="2282"/>
      <c r="T64" s="2282"/>
      <c r="U64" s="2282"/>
      <c r="V64" s="2282"/>
      <c r="W64" s="2282"/>
      <c r="X64" s="2282"/>
      <c r="Y64" s="2282"/>
      <c r="Z64" s="2282"/>
    </row>
    <row r="65" spans="1:26" x14ac:dyDescent="0.2">
      <c r="A65" s="2282"/>
      <c r="B65" s="2331"/>
      <c r="C65" s="2334"/>
      <c r="D65" s="2334" t="s">
        <v>606</v>
      </c>
      <c r="E65" s="2334" t="s">
        <v>296</v>
      </c>
      <c r="F65" s="2319">
        <f>Saisies_Exploitation!D$107</f>
        <v>0</v>
      </c>
      <c r="G65" s="2335">
        <f>Saisies_Exploitation!L$107</f>
        <v>0</v>
      </c>
      <c r="H65" s="2319">
        <f>AEN_G3LHeMo*30.4</f>
        <v>0</v>
      </c>
      <c r="I65" s="2319">
        <f>H65*G65</f>
        <v>0</v>
      </c>
      <c r="J65" s="2332"/>
      <c r="K65" s="2333"/>
      <c r="L65" s="2282"/>
      <c r="M65" s="2282"/>
      <c r="N65" s="2282"/>
      <c r="O65" s="2282"/>
      <c r="P65" s="2282"/>
      <c r="Q65" s="2282"/>
      <c r="R65" s="2282"/>
      <c r="S65" s="2282"/>
      <c r="T65" s="2282"/>
      <c r="U65" s="2282"/>
      <c r="V65" s="2282"/>
      <c r="W65" s="2282"/>
      <c r="X65" s="2282"/>
      <c r="Y65" s="2282"/>
      <c r="Z65" s="2282"/>
    </row>
    <row r="66" spans="1:26" x14ac:dyDescent="0.2">
      <c r="A66" s="2282"/>
      <c r="B66" s="2331"/>
      <c r="C66" s="2334"/>
      <c r="D66" s="2334"/>
      <c r="E66" s="2334" t="s">
        <v>297</v>
      </c>
      <c r="F66" s="2319">
        <f>Saisies_Exploitation!D$108</f>
        <v>0</v>
      </c>
      <c r="G66" s="2335">
        <f>Saisies_Exploitation!L$108</f>
        <v>0</v>
      </c>
      <c r="H66" s="2319">
        <f>AEN_G3LHeMo*30.4</f>
        <v>0</v>
      </c>
      <c r="I66" s="2319">
        <f>H66*G66</f>
        <v>0</v>
      </c>
      <c r="J66" s="2332"/>
      <c r="K66" s="2333"/>
      <c r="L66" s="2282"/>
      <c r="M66" s="2282"/>
      <c r="N66" s="2282"/>
      <c r="O66" s="2282"/>
      <c r="P66" s="2282"/>
      <c r="Q66" s="2282"/>
      <c r="R66" s="2282"/>
      <c r="S66" s="2282"/>
      <c r="T66" s="2282"/>
      <c r="U66" s="2282"/>
      <c r="V66" s="2282"/>
      <c r="W66" s="2282"/>
      <c r="X66" s="2282"/>
      <c r="Y66" s="2282"/>
      <c r="Z66" s="2282"/>
    </row>
    <row r="67" spans="1:26" x14ac:dyDescent="0.2">
      <c r="A67" s="2282"/>
      <c r="B67" s="2331"/>
      <c r="C67" s="2334"/>
      <c r="D67" s="2334"/>
      <c r="E67" s="2334" t="s">
        <v>298</v>
      </c>
      <c r="F67" s="2319">
        <f>Saisies_Exploitation!D$109</f>
        <v>0</v>
      </c>
      <c r="G67" s="2335">
        <f>Saisies_Exploitation!L$109</f>
        <v>0</v>
      </c>
      <c r="H67" s="2319">
        <f>AEN_G3LHeMo*30.4</f>
        <v>0</v>
      </c>
      <c r="I67" s="2319">
        <f>H67*G67</f>
        <v>0</v>
      </c>
      <c r="J67" s="2332"/>
      <c r="K67" s="2333"/>
      <c r="L67" s="2282"/>
      <c r="M67" s="2282"/>
      <c r="N67" s="2282"/>
      <c r="O67" s="2282"/>
      <c r="P67" s="2282"/>
      <c r="Q67" s="2282"/>
      <c r="R67" s="2282"/>
      <c r="S67" s="2282"/>
      <c r="T67" s="2282"/>
      <c r="U67" s="2282"/>
      <c r="V67" s="2282"/>
      <c r="W67" s="2282"/>
      <c r="X67" s="2282"/>
      <c r="Y67" s="2282"/>
      <c r="Z67" s="2282"/>
    </row>
    <row r="68" spans="1:26" x14ac:dyDescent="0.2">
      <c r="A68" s="2282"/>
      <c r="B68" s="2331"/>
      <c r="C68" s="2334"/>
      <c r="D68" s="3099" t="s">
        <v>2222</v>
      </c>
      <c r="E68" s="3099"/>
      <c r="F68" s="2336">
        <f>SUM(F64:F67)</f>
        <v>0</v>
      </c>
      <c r="G68" s="2319"/>
      <c r="H68" s="2336"/>
      <c r="I68" s="2336">
        <f>SUM(I64:I67)</f>
        <v>0</v>
      </c>
      <c r="J68" s="2332"/>
      <c r="K68" s="2333"/>
      <c r="L68" s="2282"/>
      <c r="M68" s="2282"/>
      <c r="N68" s="2282"/>
      <c r="O68" s="2282"/>
      <c r="P68" s="2282"/>
      <c r="Q68" s="2282"/>
      <c r="R68" s="2282"/>
      <c r="S68" s="2282"/>
      <c r="T68" s="2282"/>
      <c r="U68" s="2282"/>
      <c r="V68" s="2282"/>
      <c r="W68" s="2282"/>
      <c r="X68" s="2282"/>
      <c r="Y68" s="2282"/>
      <c r="Z68" s="2282"/>
    </row>
    <row r="69" spans="1:26" ht="5.0999999999999996" customHeight="1" x14ac:dyDescent="0.2">
      <c r="A69" s="2282"/>
      <c r="B69" s="2331"/>
      <c r="C69" s="2334"/>
      <c r="D69" s="2334"/>
      <c r="E69" s="2334"/>
      <c r="F69" s="2319"/>
      <c r="G69" s="2335"/>
      <c r="H69" s="2319"/>
      <c r="I69" s="2319"/>
      <c r="J69" s="2332"/>
      <c r="K69" s="2333"/>
      <c r="L69" s="2282"/>
      <c r="M69" s="2282"/>
      <c r="N69" s="2282"/>
      <c r="O69" s="2282"/>
      <c r="P69" s="2282"/>
      <c r="Q69" s="2282"/>
      <c r="R69" s="2282"/>
      <c r="S69" s="2282"/>
      <c r="T69" s="2282"/>
      <c r="U69" s="2282"/>
      <c r="V69" s="2282"/>
      <c r="W69" s="2282"/>
      <c r="X69" s="2282"/>
      <c r="Y69" s="2282"/>
      <c r="Z69" s="2282"/>
    </row>
    <row r="70" spans="1:26" ht="12.75" customHeight="1" x14ac:dyDescent="0.2">
      <c r="A70" s="2282"/>
      <c r="B70" s="2339"/>
      <c r="C70" s="3099" t="s">
        <v>2223</v>
      </c>
      <c r="D70" s="3099"/>
      <c r="E70" s="3099"/>
      <c r="F70" s="2319"/>
      <c r="G70" s="2335"/>
      <c r="H70" s="2319"/>
      <c r="I70" s="2319"/>
      <c r="J70" s="2332"/>
      <c r="K70" s="2340"/>
      <c r="L70" s="2282"/>
      <c r="M70" s="2282"/>
      <c r="N70" s="2282"/>
      <c r="O70" s="2282"/>
      <c r="P70" s="2282"/>
      <c r="Q70" s="2282"/>
      <c r="R70" s="2282"/>
      <c r="S70" s="2282"/>
      <c r="T70" s="2282"/>
      <c r="U70" s="2282"/>
      <c r="V70" s="2282"/>
      <c r="W70" s="2282"/>
      <c r="X70" s="2282"/>
      <c r="Y70" s="2282"/>
      <c r="Z70" s="2282"/>
    </row>
    <row r="71" spans="1:26" ht="12.75" customHeight="1" x14ac:dyDescent="0.2">
      <c r="A71" s="2282"/>
      <c r="B71" s="2339"/>
      <c r="C71" s="2334"/>
      <c r="D71" s="3112" t="s">
        <v>605</v>
      </c>
      <c r="E71" s="3112"/>
      <c r="F71" s="2319">
        <f>Saisies_Exploitation!E$103</f>
        <v>0</v>
      </c>
      <c r="G71" s="2335">
        <f>Saisies_Exploitation!M$103</f>
        <v>0</v>
      </c>
      <c r="H71" s="2319">
        <f>IF(F71=0,0,6*30.4)</f>
        <v>0</v>
      </c>
      <c r="I71" s="2319">
        <f>H71*G71</f>
        <v>0</v>
      </c>
      <c r="J71" s="2332"/>
      <c r="K71" s="2340"/>
      <c r="L71" s="2282"/>
      <c r="M71" s="2282"/>
      <c r="N71" s="2282"/>
      <c r="O71" s="2282"/>
      <c r="P71" s="2282"/>
      <c r="Q71" s="2282"/>
      <c r="R71" s="2282"/>
      <c r="S71" s="2282"/>
      <c r="T71" s="2282"/>
      <c r="U71" s="2282"/>
      <c r="V71" s="2282"/>
      <c r="W71" s="2282"/>
      <c r="X71" s="2282"/>
      <c r="Y71" s="2282"/>
      <c r="Z71" s="2282"/>
    </row>
    <row r="72" spans="1:26" ht="12.75" customHeight="1" x14ac:dyDescent="0.2">
      <c r="A72" s="2282"/>
      <c r="B72" s="2339"/>
      <c r="C72" s="2334"/>
      <c r="D72" s="2334" t="s">
        <v>606</v>
      </c>
      <c r="E72" s="2334" t="s">
        <v>296</v>
      </c>
      <c r="F72" s="2319">
        <f>Saisies_Exploitation!E$107</f>
        <v>0</v>
      </c>
      <c r="G72" s="2335">
        <f>Saisies_Exploitation!M$107</f>
        <v>0</v>
      </c>
      <c r="H72" s="2319">
        <f>AEN_G3AHeMo*30.4</f>
        <v>0</v>
      </c>
      <c r="I72" s="2319">
        <f>H72*G72</f>
        <v>0</v>
      </c>
      <c r="J72" s="2332"/>
      <c r="K72" s="2340"/>
      <c r="L72" s="2282"/>
      <c r="M72" s="2282"/>
      <c r="N72" s="2282"/>
      <c r="O72" s="2282"/>
      <c r="P72" s="2282"/>
      <c r="Q72" s="2282"/>
      <c r="R72" s="2282"/>
      <c r="S72" s="2282"/>
      <c r="T72" s="2282"/>
      <c r="U72" s="2282"/>
      <c r="V72" s="2282"/>
      <c r="W72" s="2282"/>
      <c r="X72" s="2282"/>
      <c r="Y72" s="2282"/>
      <c r="Z72" s="2282"/>
    </row>
    <row r="73" spans="1:26" ht="12.75" customHeight="1" x14ac:dyDescent="0.2">
      <c r="A73" s="2282"/>
      <c r="B73" s="2339"/>
      <c r="C73" s="2334"/>
      <c r="D73" s="2334"/>
      <c r="E73" s="2334" t="s">
        <v>297</v>
      </c>
      <c r="F73" s="2319">
        <f>Saisies_Exploitation!E$108</f>
        <v>0</v>
      </c>
      <c r="G73" s="2335">
        <f>Saisies_Exploitation!M$108</f>
        <v>0</v>
      </c>
      <c r="H73" s="2319">
        <f>AEN_G3AHeMo*30.4</f>
        <v>0</v>
      </c>
      <c r="I73" s="2319">
        <f>H73*G73</f>
        <v>0</v>
      </c>
      <c r="J73" s="2332"/>
      <c r="K73" s="2340"/>
      <c r="L73" s="2282"/>
      <c r="M73" s="2282"/>
      <c r="N73" s="2282"/>
      <c r="O73" s="2282"/>
      <c r="P73" s="2282"/>
      <c r="Q73" s="2282"/>
      <c r="R73" s="2282"/>
      <c r="S73" s="2282"/>
      <c r="T73" s="2282"/>
      <c r="U73" s="2282"/>
      <c r="V73" s="2282"/>
      <c r="W73" s="2282"/>
      <c r="X73" s="2282"/>
      <c r="Y73" s="2282"/>
      <c r="Z73" s="2282"/>
    </row>
    <row r="74" spans="1:26" ht="12.75" customHeight="1" x14ac:dyDescent="0.2">
      <c r="A74" s="2282"/>
      <c r="B74" s="2339"/>
      <c r="C74" s="2334"/>
      <c r="D74" s="2334"/>
      <c r="E74" s="2334" t="s">
        <v>298</v>
      </c>
      <c r="F74" s="2319">
        <f>Saisies_Exploitation!E$109</f>
        <v>0</v>
      </c>
      <c r="G74" s="2335">
        <f>Saisies_Exploitation!M$109</f>
        <v>0</v>
      </c>
      <c r="H74" s="2319">
        <f>AEN_G3AHeMo*30.4</f>
        <v>0</v>
      </c>
      <c r="I74" s="2319">
        <f>H74*G74</f>
        <v>0</v>
      </c>
      <c r="J74" s="2332"/>
      <c r="K74" s="2340"/>
      <c r="L74" s="2282"/>
      <c r="M74" s="2282"/>
      <c r="N74" s="2282"/>
      <c r="O74" s="2282"/>
      <c r="P74" s="2282"/>
      <c r="Q74" s="2282"/>
      <c r="R74" s="2282"/>
      <c r="S74" s="2282"/>
      <c r="T74" s="2282"/>
      <c r="U74" s="2282"/>
      <c r="V74" s="2282"/>
      <c r="W74" s="2282"/>
      <c r="X74" s="2282"/>
      <c r="Y74" s="2282"/>
      <c r="Z74" s="2282"/>
    </row>
    <row r="75" spans="1:26" ht="12.75" customHeight="1" x14ac:dyDescent="0.2">
      <c r="A75" s="2282"/>
      <c r="B75" s="2339"/>
      <c r="C75" s="2334"/>
      <c r="D75" s="3099" t="s">
        <v>2224</v>
      </c>
      <c r="E75" s="3099"/>
      <c r="F75" s="2336">
        <f>SUM(F71:F74)</f>
        <v>0</v>
      </c>
      <c r="G75" s="2319"/>
      <c r="H75" s="2336"/>
      <c r="I75" s="2336">
        <f>SUM(I71:I74)</f>
        <v>0</v>
      </c>
      <c r="J75" s="2332"/>
      <c r="K75" s="2340"/>
      <c r="L75" s="2282"/>
      <c r="M75" s="2282"/>
      <c r="N75" s="2282"/>
      <c r="O75" s="2282"/>
      <c r="P75" s="2282"/>
      <c r="Q75" s="2282"/>
      <c r="R75" s="2282"/>
      <c r="S75" s="2282"/>
      <c r="T75" s="2282"/>
      <c r="U75" s="2282"/>
      <c r="V75" s="2282"/>
      <c r="W75" s="2282"/>
      <c r="X75" s="2282"/>
      <c r="Y75" s="2282"/>
      <c r="Z75" s="2282"/>
    </row>
    <row r="76" spans="1:26" ht="5.0999999999999996" customHeight="1" x14ac:dyDescent="0.2">
      <c r="A76" s="2282"/>
      <c r="B76" s="2339"/>
      <c r="C76" s="2334"/>
      <c r="D76" s="2334"/>
      <c r="E76" s="2334"/>
      <c r="F76" s="2319"/>
      <c r="G76" s="2335"/>
      <c r="H76" s="2319"/>
      <c r="I76" s="2319"/>
      <c r="J76" s="2332"/>
      <c r="K76" s="2340"/>
      <c r="L76" s="2282"/>
      <c r="M76" s="2282"/>
      <c r="N76" s="2282"/>
      <c r="O76" s="2282"/>
      <c r="P76" s="2282"/>
      <c r="Q76" s="2282"/>
      <c r="R76" s="2282"/>
      <c r="S76" s="2282"/>
      <c r="T76" s="2282"/>
      <c r="U76" s="2282"/>
      <c r="V76" s="2282"/>
      <c r="W76" s="2282"/>
      <c r="X76" s="2282"/>
      <c r="Y76" s="2282"/>
      <c r="Z76" s="2282"/>
    </row>
    <row r="77" spans="1:26" x14ac:dyDescent="0.2">
      <c r="A77" s="2282"/>
      <c r="B77" s="2331"/>
      <c r="C77" s="3099" t="s">
        <v>611</v>
      </c>
      <c r="D77" s="3099"/>
      <c r="E77" s="3099"/>
      <c r="F77" s="2319"/>
      <c r="G77" s="2335"/>
      <c r="H77" s="2319"/>
      <c r="I77" s="2319"/>
      <c r="J77" s="2332"/>
      <c r="K77" s="2333"/>
      <c r="L77" s="2282"/>
      <c r="M77" s="2282"/>
      <c r="N77" s="2282"/>
      <c r="O77" s="2282"/>
      <c r="P77" s="2282"/>
      <c r="Q77" s="2282"/>
      <c r="R77" s="2282"/>
      <c r="S77" s="2282"/>
      <c r="T77" s="2282"/>
      <c r="U77" s="2282"/>
      <c r="V77" s="2282"/>
      <c r="W77" s="2282"/>
      <c r="X77" s="2282"/>
      <c r="Y77" s="2282"/>
      <c r="Z77" s="2282"/>
    </row>
    <row r="78" spans="1:26" x14ac:dyDescent="0.2">
      <c r="A78" s="2282"/>
      <c r="B78" s="2331"/>
      <c r="C78" s="2334"/>
      <c r="D78" s="3112" t="s">
        <v>612</v>
      </c>
      <c r="E78" s="3112"/>
      <c r="F78" s="2319">
        <f>EN_NbVaRefV</f>
        <v>5</v>
      </c>
      <c r="G78" s="2335">
        <f>EN_UgbVaRefV</f>
        <v>1.25</v>
      </c>
      <c r="H78" s="2319">
        <f>EN_NbMoVaVHe*30.4</f>
        <v>91.199999999999989</v>
      </c>
      <c r="I78" s="2319">
        <f>H78*G78</f>
        <v>113.99999999999999</v>
      </c>
      <c r="J78" s="2332"/>
      <c r="K78" s="2333"/>
      <c r="L78" s="2282"/>
      <c r="M78" s="2282"/>
      <c r="N78" s="2282"/>
      <c r="O78" s="2282"/>
      <c r="P78" s="2282"/>
      <c r="Q78" s="2282"/>
      <c r="R78" s="2282"/>
      <c r="S78" s="2282"/>
      <c r="T78" s="2282"/>
      <c r="U78" s="2282"/>
      <c r="V78" s="2282"/>
      <c r="W78" s="2282"/>
      <c r="X78" s="2282"/>
      <c r="Y78" s="2282"/>
      <c r="Z78" s="2282"/>
    </row>
    <row r="79" spans="1:26" x14ac:dyDescent="0.2">
      <c r="A79" s="2282"/>
      <c r="B79" s="2331"/>
      <c r="C79" s="2334"/>
      <c r="D79" s="3112" t="s">
        <v>613</v>
      </c>
      <c r="E79" s="3112"/>
      <c r="F79" s="2319">
        <f>EN_NbVaRefL</f>
        <v>14</v>
      </c>
      <c r="G79" s="2335">
        <f>EN_UgbVaRefL</f>
        <v>4.666666666666667</v>
      </c>
      <c r="H79" s="2319">
        <f>EN_NbMoVaLHe*30.4</f>
        <v>91.199999999999989</v>
      </c>
      <c r="I79" s="2319">
        <f>H79*G79</f>
        <v>425.59999999999997</v>
      </c>
      <c r="J79" s="2332"/>
      <c r="K79" s="2333"/>
      <c r="L79" s="2282"/>
      <c r="M79" s="2282"/>
      <c r="N79" s="2282"/>
      <c r="O79" s="2282"/>
      <c r="P79" s="2282"/>
      <c r="Q79" s="2282"/>
      <c r="R79" s="2282"/>
      <c r="S79" s="2282"/>
      <c r="T79" s="2282"/>
      <c r="U79" s="2282"/>
      <c r="V79" s="2282"/>
      <c r="W79" s="2282"/>
      <c r="X79" s="2282"/>
      <c r="Y79" s="2282"/>
      <c r="Z79" s="2282"/>
    </row>
    <row r="80" spans="1:26" x14ac:dyDescent="0.2">
      <c r="A80" s="2282"/>
      <c r="B80" s="2331"/>
      <c r="C80" s="2334"/>
      <c r="D80" s="3099" t="s">
        <v>615</v>
      </c>
      <c r="E80" s="3099"/>
      <c r="F80" s="2319"/>
      <c r="G80" s="2319"/>
      <c r="H80" s="2319"/>
      <c r="I80" s="2336">
        <f>SUM(I78:I79)</f>
        <v>539.59999999999991</v>
      </c>
      <c r="J80" s="2332"/>
      <c r="K80" s="2333"/>
      <c r="L80" s="2282"/>
      <c r="M80" s="2282"/>
      <c r="N80" s="2282"/>
      <c r="O80" s="2282"/>
      <c r="P80" s="2282"/>
      <c r="Q80" s="2282"/>
      <c r="R80" s="2282"/>
      <c r="S80" s="2282"/>
      <c r="T80" s="2282"/>
      <c r="U80" s="2282"/>
      <c r="V80" s="2282"/>
      <c r="W80" s="2282"/>
      <c r="X80" s="2282"/>
      <c r="Y80" s="2282"/>
      <c r="Z80" s="2282"/>
    </row>
    <row r="81" spans="1:35" ht="5.0999999999999996" customHeight="1" x14ac:dyDescent="0.2">
      <c r="A81" s="2282"/>
      <c r="B81" s="2331"/>
      <c r="C81" s="2334"/>
      <c r="D81" s="2334"/>
      <c r="E81" s="2334"/>
      <c r="F81" s="2332"/>
      <c r="G81" s="2332"/>
      <c r="H81" s="2332"/>
      <c r="I81" s="2332"/>
      <c r="J81" s="2332"/>
      <c r="K81" s="2333"/>
      <c r="L81" s="2282"/>
      <c r="M81" s="2282"/>
      <c r="N81" s="2282"/>
      <c r="O81" s="2282"/>
      <c r="P81" s="2282"/>
      <c r="Q81" s="2282"/>
      <c r="R81" s="2282"/>
      <c r="S81" s="2282"/>
      <c r="T81" s="2282"/>
      <c r="U81" s="2282"/>
      <c r="V81" s="2282"/>
      <c r="W81" s="2282"/>
      <c r="X81" s="2282"/>
      <c r="Y81" s="2282"/>
      <c r="Z81" s="2282"/>
    </row>
    <row r="82" spans="1:35" ht="18" x14ac:dyDescent="0.25">
      <c r="A82" s="2282"/>
      <c r="B82" s="2331"/>
      <c r="C82" s="2334"/>
      <c r="D82" s="3117" t="s">
        <v>1970</v>
      </c>
      <c r="E82" s="3117"/>
      <c r="F82" s="3117"/>
      <c r="G82" s="3117"/>
      <c r="H82" s="3117"/>
      <c r="I82" s="2341"/>
      <c r="J82" s="2341"/>
      <c r="K82" s="2342"/>
      <c r="L82" s="2282"/>
      <c r="M82" s="2282"/>
      <c r="N82" s="2282"/>
      <c r="O82" s="2282"/>
      <c r="P82" s="2282"/>
      <c r="Q82" s="2282"/>
      <c r="R82" s="2282"/>
      <c r="S82" s="2282"/>
      <c r="T82" s="2282"/>
      <c r="U82" s="2282"/>
      <c r="V82" s="2282"/>
      <c r="W82" s="2282"/>
      <c r="X82" s="2282"/>
      <c r="Y82" s="2282"/>
      <c r="Z82" s="2282"/>
      <c r="AA82" s="1105">
        <f>Paramètres!V10</f>
        <v>600</v>
      </c>
      <c r="AB82" s="17" t="s">
        <v>844</v>
      </c>
      <c r="AC82" s="17"/>
      <c r="AD82" s="17"/>
    </row>
    <row r="83" spans="1:35" ht="15" customHeight="1" x14ac:dyDescent="0.25">
      <c r="A83" s="2282"/>
      <c r="B83" s="2339"/>
      <c r="C83" s="2334"/>
      <c r="D83" s="2343"/>
      <c r="E83" s="2344" t="s">
        <v>2025</v>
      </c>
      <c r="F83" s="2345"/>
      <c r="G83" s="2345"/>
      <c r="H83" s="2345"/>
      <c r="I83" s="2346">
        <f>I$86*AI39</f>
        <v>2834.7012987012986</v>
      </c>
      <c r="J83" s="2346">
        <f>CCP_SurPat1</f>
        <v>10</v>
      </c>
      <c r="K83" s="2347">
        <f>I86*(AI39/CCP_SurPat1)</f>
        <v>283.47012987012982</v>
      </c>
      <c r="L83" s="2282"/>
      <c r="M83" s="2282"/>
      <c r="N83" s="2282"/>
      <c r="O83" s="2282"/>
      <c r="P83" s="2282"/>
      <c r="Q83" s="2282"/>
      <c r="R83" s="2282"/>
      <c r="S83" s="2282"/>
      <c r="T83" s="2282"/>
      <c r="U83" s="2282"/>
      <c r="V83" s="2282"/>
      <c r="W83" s="2282"/>
      <c r="X83" s="2282"/>
      <c r="Y83" s="2282"/>
      <c r="Z83" s="2282"/>
      <c r="AB83" s="17" t="s">
        <v>846</v>
      </c>
      <c r="AC83" s="17" t="s">
        <v>845</v>
      </c>
      <c r="AD83" s="17"/>
    </row>
    <row r="84" spans="1:35" ht="15" customHeight="1" x14ac:dyDescent="0.25">
      <c r="A84" s="2282"/>
      <c r="B84" s="2339"/>
      <c r="C84" s="2334"/>
      <c r="D84" s="2343"/>
      <c r="E84" s="2344" t="s">
        <v>2026</v>
      </c>
      <c r="F84" s="2345"/>
      <c r="G84" s="2345"/>
      <c r="H84" s="2345"/>
      <c r="I84" s="2346">
        <f>I$86*AI40</f>
        <v>1445.6976623376622</v>
      </c>
      <c r="J84" s="2346">
        <f>CCP_SurPat2</f>
        <v>15</v>
      </c>
      <c r="K84" s="2347">
        <f>I86*(AI40/CCP_SurPat2)</f>
        <v>96.37984415584414</v>
      </c>
      <c r="L84" s="2282"/>
      <c r="M84" s="2282"/>
      <c r="N84" s="2282"/>
      <c r="O84" s="2282"/>
      <c r="P84" s="2282"/>
      <c r="Q84" s="2282"/>
      <c r="R84" s="2282"/>
      <c r="S84" s="2282"/>
      <c r="T84" s="2282"/>
      <c r="U84" s="2282"/>
      <c r="V84" s="2282"/>
      <c r="W84" s="2282"/>
      <c r="X84" s="2282"/>
      <c r="Y84" s="2282"/>
      <c r="Z84" s="2282"/>
    </row>
    <row r="85" spans="1:35" ht="15" customHeight="1" x14ac:dyDescent="0.25">
      <c r="A85" s="2282"/>
      <c r="B85" s="2339"/>
      <c r="C85" s="2334"/>
      <c r="D85" s="2343"/>
      <c r="E85" s="2344" t="s">
        <v>2027</v>
      </c>
      <c r="F85" s="2345"/>
      <c r="G85" s="2345"/>
      <c r="H85" s="2345"/>
      <c r="I85" s="2346">
        <f>I$86*AI41</f>
        <v>1722.081038961039</v>
      </c>
      <c r="J85" s="2346">
        <f>CCP_SurPat3</f>
        <v>21</v>
      </c>
      <c r="K85" s="2347">
        <f>I86*(AI41/CCP_SurPat3)</f>
        <v>82.003858998144707</v>
      </c>
      <c r="L85" s="2282"/>
      <c r="M85" s="2282"/>
      <c r="N85" s="2282"/>
      <c r="O85" s="2282"/>
      <c r="P85" s="2282"/>
      <c r="Q85" s="2282"/>
      <c r="R85" s="2282"/>
      <c r="S85" s="2282"/>
      <c r="T85" s="2282"/>
      <c r="U85" s="2282"/>
      <c r="V85" s="2282"/>
      <c r="W85" s="2282"/>
      <c r="X85" s="2282"/>
      <c r="Y85" s="2282"/>
      <c r="Z85" s="2282"/>
    </row>
    <row r="86" spans="1:35" ht="18" x14ac:dyDescent="0.25">
      <c r="A86" s="2282"/>
      <c r="B86" s="2339"/>
      <c r="C86" s="2334"/>
      <c r="D86" s="2343"/>
      <c r="E86" s="2348" t="s">
        <v>244</v>
      </c>
      <c r="F86" s="2343"/>
      <c r="G86" s="2343"/>
      <c r="H86" s="2343"/>
      <c r="I86" s="2341">
        <f>I47+I52+I61+I68+I75+I80</f>
        <v>6002.48</v>
      </c>
      <c r="J86" s="2341">
        <f>SA_SFP_Herbe-SA_Herbe_Vache</f>
        <v>21</v>
      </c>
      <c r="K86" s="2349">
        <f>I86*(AI39/CCP_SurPat1+AI40/CCP_SurPat2+AI41/CCP_SurPat3)</f>
        <v>461.85383302411873</v>
      </c>
      <c r="L86" s="2282"/>
      <c r="M86" s="2282"/>
      <c r="N86" s="2282"/>
      <c r="O86" s="2282"/>
      <c r="P86" s="2282"/>
      <c r="Q86" s="2282"/>
      <c r="R86" s="2282"/>
      <c r="S86" s="2282"/>
      <c r="T86" s="2282"/>
      <c r="U86" s="2282"/>
      <c r="V86" s="2282"/>
      <c r="W86" s="2282"/>
      <c r="X86" s="2282"/>
      <c r="Y86" s="2282"/>
      <c r="Z86" s="2282"/>
    </row>
    <row r="87" spans="1:35" ht="16.5" thickBot="1" x14ac:dyDescent="0.3">
      <c r="A87" s="2282"/>
      <c r="B87" s="3114" t="str">
        <f>IF(K86&lt;AA82,"",AB83&amp;AA82&amp;AC83)</f>
        <v/>
      </c>
      <c r="C87" s="3115"/>
      <c r="D87" s="3115"/>
      <c r="E87" s="3115"/>
      <c r="F87" s="3115"/>
      <c r="G87" s="3115"/>
      <c r="H87" s="3115"/>
      <c r="I87" s="3115"/>
      <c r="J87" s="3115"/>
      <c r="K87" s="3116"/>
      <c r="L87" s="2282"/>
      <c r="M87" s="2282"/>
      <c r="N87" s="2282"/>
      <c r="O87" s="2282"/>
      <c r="P87" s="2282"/>
      <c r="Q87" s="2282"/>
      <c r="R87" s="2282"/>
      <c r="S87" s="2282"/>
      <c r="T87" s="2282"/>
      <c r="U87" s="2282"/>
      <c r="V87" s="2282"/>
      <c r="W87" s="2282"/>
      <c r="X87" s="2282"/>
      <c r="Y87" s="2282"/>
      <c r="Z87" s="2282"/>
    </row>
    <row r="88" spans="1:35" ht="5.0999999999999996" customHeight="1" thickTop="1" x14ac:dyDescent="0.2">
      <c r="A88" s="2282"/>
      <c r="B88" s="2282"/>
      <c r="C88" s="2282"/>
      <c r="D88" s="2282"/>
      <c r="E88" s="2282"/>
      <c r="F88" s="2282"/>
      <c r="G88" s="2282"/>
      <c r="H88" s="2282"/>
      <c r="I88" s="2282"/>
      <c r="J88" s="2282"/>
      <c r="K88" s="2282"/>
      <c r="L88" s="2282"/>
      <c r="M88" s="2282"/>
      <c r="N88" s="2282"/>
      <c r="O88" s="2282"/>
      <c r="P88" s="2282"/>
      <c r="Q88" s="2282"/>
      <c r="R88" s="2282"/>
      <c r="S88" s="2282"/>
      <c r="T88" s="2282"/>
      <c r="U88" s="2282"/>
      <c r="V88" s="2282"/>
      <c r="W88" s="2282"/>
      <c r="X88" s="2282"/>
      <c r="Y88" s="2282"/>
      <c r="Z88" s="2282"/>
    </row>
    <row r="89" spans="1:35" s="1775" customFormat="1" ht="25.5" customHeight="1" x14ac:dyDescent="0.2">
      <c r="A89" s="2284"/>
      <c r="B89" s="3113" t="s">
        <v>2346</v>
      </c>
      <c r="C89" s="3113"/>
      <c r="D89" s="3113"/>
      <c r="E89" s="3113"/>
      <c r="F89" s="3113"/>
      <c r="G89" s="3113"/>
      <c r="H89" s="3113"/>
      <c r="I89" s="3113"/>
      <c r="J89" s="3113"/>
      <c r="K89" s="3113"/>
      <c r="L89" s="2284"/>
      <c r="M89" s="2284"/>
      <c r="N89" s="2284"/>
      <c r="O89" s="2284"/>
      <c r="P89" s="2284"/>
      <c r="Q89" s="2284"/>
      <c r="R89" s="2284"/>
      <c r="S89" s="2284"/>
      <c r="T89" s="2284"/>
      <c r="U89" s="2284"/>
      <c r="V89" s="2284"/>
      <c r="W89" s="2284"/>
      <c r="X89" s="2284"/>
      <c r="Y89" s="2284"/>
      <c r="Z89" s="2284"/>
      <c r="AI89"/>
    </row>
    <row r="90" spans="1:35" x14ac:dyDescent="0.2">
      <c r="A90" s="2282"/>
      <c r="B90" s="2282"/>
      <c r="C90" s="2282"/>
      <c r="D90" s="2282"/>
      <c r="E90" s="2282"/>
      <c r="F90" s="2282"/>
      <c r="G90" s="2282"/>
      <c r="H90" s="2282"/>
      <c r="I90" s="2282"/>
      <c r="J90" s="2282"/>
      <c r="K90" s="2282"/>
      <c r="L90" s="2282"/>
      <c r="M90" s="2282"/>
      <c r="N90" s="2282"/>
      <c r="O90" s="2282"/>
      <c r="P90" s="2282"/>
      <c r="Q90" s="2282"/>
      <c r="R90" s="2282"/>
      <c r="S90" s="2282"/>
      <c r="T90" s="2282"/>
      <c r="U90" s="2282"/>
      <c r="V90" s="2282"/>
      <c r="W90" s="2282"/>
      <c r="X90" s="2282"/>
      <c r="Y90" s="2282"/>
      <c r="Z90" s="2282"/>
    </row>
    <row r="91" spans="1:35" ht="39.75" customHeight="1" x14ac:dyDescent="0.25">
      <c r="A91" s="2282"/>
      <c r="B91" s="3119" t="s">
        <v>2042</v>
      </c>
      <c r="C91" s="3100"/>
      <c r="D91" s="3100"/>
      <c r="E91" s="3100"/>
      <c r="F91" s="3100"/>
      <c r="G91" s="2282"/>
      <c r="H91" s="2282"/>
      <c r="I91" s="2282"/>
      <c r="J91" s="2282"/>
      <c r="K91" s="2282"/>
      <c r="L91" s="2282"/>
      <c r="M91" s="2282"/>
      <c r="N91" s="2282"/>
      <c r="O91" s="2282"/>
      <c r="P91" s="2282"/>
      <c r="Q91" s="2282"/>
      <c r="R91" s="2282"/>
      <c r="S91" s="2282"/>
      <c r="T91" s="2282"/>
      <c r="U91" s="2282"/>
      <c r="V91" s="2282"/>
      <c r="W91" s="2282"/>
      <c r="X91" s="2282"/>
      <c r="Y91" s="2282"/>
      <c r="Z91" s="2282"/>
    </row>
    <row r="92" spans="1:35" ht="5.0999999999999996" customHeight="1" thickBot="1" x14ac:dyDescent="0.25">
      <c r="A92" s="2282"/>
      <c r="B92" s="2282"/>
      <c r="C92" s="2282"/>
      <c r="D92" s="2282"/>
      <c r="E92" s="2282"/>
      <c r="F92" s="2282"/>
      <c r="G92" s="2282"/>
      <c r="H92" s="2282"/>
      <c r="I92" s="2282"/>
      <c r="J92" s="2282"/>
      <c r="K92" s="2282"/>
      <c r="L92" s="2282"/>
      <c r="M92" s="2282"/>
      <c r="N92" s="2282"/>
      <c r="O92" s="2282"/>
      <c r="P92" s="2282"/>
      <c r="Q92" s="2282"/>
      <c r="R92" s="2282"/>
      <c r="S92" s="2282"/>
      <c r="T92" s="2282"/>
      <c r="U92" s="2282"/>
      <c r="V92" s="2282"/>
      <c r="W92" s="2282"/>
      <c r="X92" s="2282"/>
      <c r="Y92" s="2282"/>
      <c r="Z92" s="2282"/>
    </row>
    <row r="93" spans="1:35" ht="13.5" thickTop="1" x14ac:dyDescent="0.2">
      <c r="A93" s="2282"/>
      <c r="B93" s="2356"/>
      <c r="C93" s="2357"/>
      <c r="D93" s="3120" t="s">
        <v>2302</v>
      </c>
      <c r="E93" s="3120"/>
      <c r="F93" s="3121"/>
      <c r="G93" s="2282"/>
      <c r="H93" s="2282"/>
      <c r="I93" s="2289"/>
      <c r="J93" s="2282"/>
      <c r="K93" s="2282"/>
      <c r="L93" s="2282"/>
      <c r="M93" s="2282"/>
      <c r="N93" s="2282"/>
      <c r="O93" s="2282"/>
      <c r="P93" s="2282"/>
      <c r="Q93" s="2282"/>
      <c r="R93" s="2282"/>
      <c r="S93" s="2282"/>
      <c r="T93" s="2282"/>
      <c r="U93" s="2282"/>
      <c r="V93" s="2282"/>
      <c r="W93" s="2282"/>
      <c r="X93" s="2282"/>
      <c r="Y93" s="2282"/>
      <c r="Z93" s="2282"/>
    </row>
    <row r="94" spans="1:35" x14ac:dyDescent="0.2">
      <c r="A94" s="2282"/>
      <c r="B94" s="2358"/>
      <c r="C94" s="2359"/>
      <c r="D94" s="2360" t="s">
        <v>625</v>
      </c>
      <c r="E94" s="2360" t="s">
        <v>187</v>
      </c>
      <c r="F94" s="2361" t="s">
        <v>665</v>
      </c>
      <c r="G94" s="2282"/>
      <c r="H94" s="2282"/>
      <c r="I94" s="2289"/>
      <c r="J94" s="2282"/>
      <c r="K94" s="2282"/>
      <c r="L94" s="2282"/>
      <c r="M94" s="2282"/>
      <c r="N94" s="2282"/>
      <c r="O94" s="2282"/>
      <c r="P94" s="2282"/>
      <c r="Q94" s="2282"/>
      <c r="R94" s="2282"/>
      <c r="S94" s="2282"/>
      <c r="T94" s="2282"/>
      <c r="U94" s="2282"/>
      <c r="V94" s="2282"/>
      <c r="W94" s="2282"/>
      <c r="X94" s="2282"/>
      <c r="Y94" s="2282"/>
      <c r="Z94" s="2282"/>
    </row>
    <row r="95" spans="1:35" x14ac:dyDescent="0.2">
      <c r="A95" s="2282"/>
      <c r="B95" s="2362" t="s">
        <v>598</v>
      </c>
      <c r="C95" s="2359"/>
      <c r="D95" s="2363">
        <f>NPK_Organiques!G10/$K$31</f>
        <v>3.9325927916817771</v>
      </c>
      <c r="E95" s="2363">
        <f>NPK_Organiques!J10/$K$31</f>
        <v>1.2840206007248998</v>
      </c>
      <c r="F95" s="2364">
        <f>NPK_Organiques!M10/$K$31</f>
        <v>5.2580981549847161</v>
      </c>
      <c r="G95" s="2282"/>
      <c r="H95" s="2282"/>
      <c r="I95" s="2289"/>
      <c r="J95" s="2282"/>
      <c r="K95" s="2282"/>
      <c r="L95" s="2282"/>
      <c r="M95" s="2282"/>
      <c r="N95" s="2282"/>
      <c r="O95" s="2282"/>
      <c r="P95" s="2282"/>
      <c r="Q95" s="2282"/>
      <c r="R95" s="2282"/>
      <c r="S95" s="2282"/>
      <c r="T95" s="2282"/>
      <c r="U95" s="2282"/>
      <c r="V95" s="2282"/>
      <c r="W95" s="2282"/>
      <c r="X95" s="2282"/>
      <c r="Y95" s="2282"/>
      <c r="Z95" s="2282"/>
    </row>
    <row r="96" spans="1:35" x14ac:dyDescent="0.2">
      <c r="A96" s="2282"/>
      <c r="B96" s="2365" t="s">
        <v>2043</v>
      </c>
      <c r="C96" s="2366"/>
      <c r="D96" s="2363">
        <f>NPK_Organiques!G12/$K$37</f>
        <v>2.4622295397119216</v>
      </c>
      <c r="E96" s="2363">
        <f>NPK_Organiques!J12/$K$37</f>
        <v>0.76630613225728172</v>
      </c>
      <c r="F96" s="2364">
        <f>NPK_Organiques!M12/$K$37</f>
        <v>3.9697170130049346</v>
      </c>
      <c r="G96" s="2282"/>
      <c r="H96" s="2282"/>
      <c r="I96" s="2289"/>
      <c r="J96" s="2282"/>
      <c r="K96" s="2282"/>
      <c r="L96" s="2282"/>
      <c r="M96" s="2282"/>
      <c r="N96" s="2282"/>
      <c r="O96" s="2282"/>
      <c r="P96" s="2282"/>
      <c r="Q96" s="2282"/>
      <c r="R96" s="2282"/>
      <c r="S96" s="2282"/>
      <c r="T96" s="2282"/>
      <c r="U96" s="2282"/>
      <c r="V96" s="2282"/>
      <c r="W96" s="2282"/>
      <c r="X96" s="2282"/>
      <c r="Y96" s="2282"/>
      <c r="Z96" s="2282"/>
    </row>
    <row r="97" spans="1:30" ht="13.5" thickBot="1" x14ac:dyDescent="0.25">
      <c r="A97" s="2282"/>
      <c r="B97" s="2367" t="s">
        <v>2044</v>
      </c>
      <c r="C97" s="2368"/>
      <c r="D97" s="2369">
        <f>SUM(NPK_Organiques!G11,NPK_Organiques!G13:G14)/$K$86</f>
        <v>4.514415277984968</v>
      </c>
      <c r="E97" s="2369">
        <f>SUM(NPK_Organiques!J11,NPK_Organiques!J13:J14)/$K$86</f>
        <v>1.5148010401596723</v>
      </c>
      <c r="F97" s="2370">
        <f>SUM(NPK_Organiques!M11,NPK_Organiques!M13:M14)/$K$86</f>
        <v>7.6102720861250983</v>
      </c>
      <c r="G97" s="2282"/>
      <c r="H97" s="2282"/>
      <c r="I97" s="2289"/>
      <c r="J97" s="2282"/>
      <c r="K97" s="2282"/>
      <c r="L97" s="2282"/>
      <c r="M97" s="2282"/>
      <c r="N97" s="2282"/>
      <c r="O97" s="2282"/>
      <c r="P97" s="2282"/>
      <c r="Q97" s="2282"/>
      <c r="R97" s="2282"/>
      <c r="S97" s="2282"/>
      <c r="T97" s="2282"/>
      <c r="U97" s="2282"/>
      <c r="V97" s="2282"/>
      <c r="W97" s="2282"/>
      <c r="X97" s="2282"/>
      <c r="Y97" s="2282"/>
      <c r="Z97" s="2282"/>
    </row>
    <row r="98" spans="1:30" ht="13.5" thickTop="1" x14ac:dyDescent="0.2">
      <c r="A98" s="2282"/>
      <c r="B98" s="2282"/>
      <c r="C98" s="2282"/>
      <c r="D98" s="2282"/>
      <c r="E98" s="2282"/>
      <c r="F98" s="2282"/>
      <c r="G98" s="2282"/>
      <c r="H98" s="2282"/>
      <c r="I98" s="2289"/>
      <c r="J98" s="2282"/>
      <c r="K98" s="2282"/>
      <c r="L98" s="2282"/>
      <c r="M98" s="2282"/>
      <c r="N98" s="2282"/>
      <c r="O98" s="2282"/>
      <c r="P98" s="2282"/>
      <c r="Q98" s="2282"/>
      <c r="R98" s="2282"/>
      <c r="S98" s="2282"/>
      <c r="T98" s="2282"/>
      <c r="U98" s="2282"/>
      <c r="V98" s="2282"/>
      <c r="W98" s="2282"/>
      <c r="X98" s="2282"/>
      <c r="Y98" s="2282"/>
      <c r="Z98" s="2282"/>
    </row>
    <row r="99" spans="1:30" ht="35.1" customHeight="1" x14ac:dyDescent="0.25">
      <c r="A99" s="2282"/>
      <c r="B99" s="3119" t="s">
        <v>2416</v>
      </c>
      <c r="C99" s="3100"/>
      <c r="D99" s="3100"/>
      <c r="E99" s="3100"/>
      <c r="F99" s="3100"/>
      <c r="G99" s="2282"/>
      <c r="H99" s="2282"/>
      <c r="I99" s="2289"/>
      <c r="J99" s="2282"/>
      <c r="K99" s="2282"/>
      <c r="L99" s="2282"/>
      <c r="M99" s="2282"/>
      <c r="N99" s="2282"/>
      <c r="O99" s="2282"/>
      <c r="P99" s="2282"/>
      <c r="Q99" s="2282"/>
      <c r="R99" s="2282"/>
      <c r="S99" s="2282"/>
      <c r="T99" s="2282"/>
      <c r="U99" s="2282"/>
      <c r="V99" s="2282"/>
      <c r="W99" s="2282"/>
      <c r="X99" s="2282"/>
      <c r="Y99" s="2282"/>
      <c r="Z99" s="2282"/>
    </row>
    <row r="100" spans="1:30" ht="5.0999999999999996" customHeight="1" thickBot="1" x14ac:dyDescent="0.25">
      <c r="A100" s="2282"/>
      <c r="B100" s="2282"/>
      <c r="C100" s="2282"/>
      <c r="D100" s="2282"/>
      <c r="E100" s="2282"/>
      <c r="F100" s="2282"/>
      <c r="G100" s="2282"/>
      <c r="H100" s="2282"/>
      <c r="I100" s="2289"/>
      <c r="J100" s="2282"/>
      <c r="K100" s="2282"/>
      <c r="L100" s="2282"/>
      <c r="M100" s="2282"/>
      <c r="N100" s="2282"/>
      <c r="O100" s="2282"/>
      <c r="P100" s="2282"/>
      <c r="Q100" s="2282"/>
      <c r="R100" s="2282"/>
      <c r="S100" s="2282"/>
      <c r="T100" s="2282"/>
      <c r="U100" s="2282"/>
      <c r="V100" s="2282"/>
      <c r="W100" s="2282"/>
      <c r="X100" s="2282"/>
      <c r="Y100" s="2282"/>
      <c r="Z100" s="2282"/>
    </row>
    <row r="101" spans="1:30" ht="12.75" customHeight="1" x14ac:dyDescent="0.2">
      <c r="A101" s="2282"/>
      <c r="B101" s="2800"/>
      <c r="C101" s="2351"/>
      <c r="D101" s="2805" t="s">
        <v>2432</v>
      </c>
      <c r="E101" s="2806" t="s">
        <v>2433</v>
      </c>
      <c r="F101" s="2282"/>
      <c r="G101" s="2282"/>
      <c r="H101" s="2282"/>
      <c r="I101" s="2289"/>
      <c r="J101" s="2282"/>
      <c r="K101" s="2282"/>
      <c r="L101" s="2282"/>
      <c r="M101" s="2282"/>
      <c r="N101" s="2282"/>
      <c r="O101" s="2282"/>
      <c r="P101" s="2282"/>
      <c r="Q101" s="2282"/>
      <c r="R101" s="2282"/>
      <c r="S101" s="2282"/>
      <c r="T101" s="2282"/>
      <c r="U101" s="2282"/>
      <c r="V101" s="2282"/>
      <c r="W101" s="2282"/>
      <c r="X101" s="2282"/>
      <c r="Y101" s="2282"/>
      <c r="Z101" s="2282"/>
    </row>
    <row r="102" spans="1:30" x14ac:dyDescent="0.2">
      <c r="A102" s="2282"/>
      <c r="B102" s="2801" t="s">
        <v>2059</v>
      </c>
      <c r="C102" s="2799"/>
      <c r="D102" s="2450">
        <f>$AC$103+EXP($AD$103*K31)</f>
        <v>13.995955806695921</v>
      </c>
      <c r="E102" s="2803">
        <f>D102*4.43</f>
        <v>62.002084223662926</v>
      </c>
      <c r="F102" s="2282"/>
      <c r="G102" s="2282"/>
      <c r="H102" s="2282"/>
      <c r="I102" s="2289"/>
      <c r="J102" s="2282"/>
      <c r="K102" s="2282"/>
      <c r="L102" s="2282"/>
      <c r="M102" s="2282"/>
      <c r="N102" s="2282"/>
      <c r="O102" s="2282"/>
      <c r="P102" s="2282"/>
      <c r="Q102" s="2282"/>
      <c r="R102" s="2282"/>
      <c r="S102" s="2282"/>
      <c r="T102" s="2282"/>
      <c r="U102" s="2282"/>
      <c r="V102" s="2282"/>
      <c r="W102" s="2282"/>
      <c r="X102" s="2282"/>
      <c r="Y102" s="2282"/>
      <c r="Z102" s="2282"/>
      <c r="AC102" s="2027" t="s">
        <v>2061</v>
      </c>
      <c r="AD102" s="2027" t="s">
        <v>2062</v>
      </c>
    </row>
    <row r="103" spans="1:30" x14ac:dyDescent="0.2">
      <c r="A103" s="2282"/>
      <c r="B103" s="2352" t="s">
        <v>2060</v>
      </c>
      <c r="C103" s="2334"/>
      <c r="D103" s="2450">
        <f>$AC$103+EXP($AD$103*K37)</f>
        <v>12.149284256892379</v>
      </c>
      <c r="E103" s="2803">
        <f t="shared" ref="E103:E104" si="2">D103*4.43</f>
        <v>53.821329258033238</v>
      </c>
      <c r="F103" s="2282"/>
      <c r="G103" s="2282"/>
      <c r="H103" s="2282"/>
      <c r="I103" s="2289"/>
      <c r="J103" s="2282"/>
      <c r="K103" s="2282"/>
      <c r="L103" s="2282"/>
      <c r="M103" s="2282"/>
      <c r="N103" s="2282"/>
      <c r="O103" s="2282"/>
      <c r="P103" s="2282"/>
      <c r="Q103" s="2282"/>
      <c r="R103" s="2282"/>
      <c r="S103" s="2282"/>
      <c r="T103" s="2282"/>
      <c r="U103" s="2282"/>
      <c r="V103" s="2282"/>
      <c r="W103" s="2282"/>
      <c r="X103" s="2282"/>
      <c r="Y103" s="2282"/>
      <c r="Z103" s="2282"/>
      <c r="AC103" s="1337">
        <v>8.09</v>
      </c>
      <c r="AD103" s="1337">
        <v>3.2000000000000002E-3</v>
      </c>
    </row>
    <row r="104" spans="1:30" ht="13.5" thickBot="1" x14ac:dyDescent="0.25">
      <c r="A104" s="2282"/>
      <c r="B104" s="2354" t="s">
        <v>2058</v>
      </c>
      <c r="C104" s="2355"/>
      <c r="D104" s="2802">
        <f>$AC$103+EXP($AD$103*K86)</f>
        <v>12.473871620961678</v>
      </c>
      <c r="E104" s="2804">
        <f t="shared" si="2"/>
        <v>55.259251280860227</v>
      </c>
      <c r="F104" s="2282"/>
      <c r="G104" s="2282"/>
      <c r="H104" s="2282"/>
      <c r="I104" s="2289"/>
      <c r="J104" s="2282"/>
      <c r="K104" s="2282"/>
      <c r="L104" s="2282"/>
      <c r="M104" s="2282"/>
      <c r="N104" s="2282"/>
      <c r="O104" s="2282"/>
      <c r="P104" s="2282"/>
      <c r="Q104" s="2282"/>
      <c r="R104" s="2282"/>
      <c r="S104" s="2282"/>
      <c r="T104" s="2282"/>
      <c r="U104" s="2282"/>
      <c r="V104" s="2282"/>
      <c r="W104" s="2282"/>
      <c r="X104" s="2282"/>
      <c r="Y104" s="2282"/>
      <c r="Z104" s="2282"/>
    </row>
    <row r="105" spans="1:30" ht="43.5" customHeight="1" x14ac:dyDescent="0.2">
      <c r="A105" s="2282"/>
      <c r="B105" s="3113" t="s">
        <v>2063</v>
      </c>
      <c r="C105" s="3113"/>
      <c r="D105" s="3113"/>
      <c r="E105" s="3113"/>
      <c r="F105" s="3113"/>
      <c r="G105" s="2290"/>
      <c r="H105" s="2290"/>
      <c r="I105" s="2290"/>
      <c r="J105" s="2290"/>
      <c r="K105" s="2290"/>
      <c r="L105" s="2282"/>
      <c r="M105" s="2282"/>
      <c r="N105" s="2282"/>
      <c r="O105" s="2282"/>
      <c r="P105" s="2282"/>
      <c r="Q105" s="2282"/>
      <c r="R105" s="2282"/>
      <c r="S105" s="2282"/>
      <c r="T105" s="2282"/>
      <c r="U105" s="2282"/>
      <c r="V105" s="2282"/>
      <c r="W105" s="2282"/>
      <c r="X105" s="2282"/>
      <c r="Y105" s="2282"/>
      <c r="Z105" s="2282"/>
    </row>
    <row r="106" spans="1:30" ht="30" customHeight="1" x14ac:dyDescent="0.2">
      <c r="A106" s="2282"/>
      <c r="B106" s="3118" t="s">
        <v>2345</v>
      </c>
      <c r="C106" s="3118"/>
      <c r="D106" s="3118"/>
      <c r="E106" s="3118"/>
      <c r="F106" s="2282"/>
      <c r="G106" s="2282"/>
      <c r="H106" s="2282"/>
      <c r="I106" s="2289"/>
      <c r="J106" s="2282"/>
      <c r="K106" s="2282"/>
      <c r="L106" s="2282"/>
      <c r="M106" s="2282"/>
      <c r="N106" s="2282"/>
      <c r="O106" s="2282"/>
      <c r="P106" s="2282"/>
      <c r="Q106" s="2282"/>
      <c r="R106" s="2282"/>
      <c r="S106" s="2282"/>
      <c r="T106" s="2282"/>
      <c r="U106" s="2282"/>
      <c r="V106" s="2282"/>
      <c r="W106" s="2282"/>
      <c r="X106" s="2282"/>
      <c r="Y106" s="2282"/>
      <c r="Z106" s="2282"/>
    </row>
    <row r="107" spans="1:30" x14ac:dyDescent="0.2">
      <c r="A107" s="2282"/>
      <c r="B107" s="2284" t="s">
        <v>2415</v>
      </c>
      <c r="C107" s="2282"/>
      <c r="D107" s="2282"/>
      <c r="E107" s="2282"/>
      <c r="F107" s="2282"/>
      <c r="G107" s="2282"/>
      <c r="H107" s="2282"/>
      <c r="I107" s="2289"/>
      <c r="J107" s="2282"/>
      <c r="K107" s="2282"/>
      <c r="L107" s="2282"/>
      <c r="M107" s="2282"/>
      <c r="N107" s="2282"/>
      <c r="O107" s="2282"/>
      <c r="P107" s="2282"/>
      <c r="Q107" s="2282"/>
      <c r="R107" s="2282"/>
      <c r="S107" s="2282"/>
      <c r="T107" s="2282"/>
      <c r="U107" s="2282"/>
      <c r="V107" s="2282"/>
      <c r="W107" s="2282"/>
      <c r="X107" s="2282"/>
      <c r="Y107" s="2282"/>
      <c r="Z107" s="2282"/>
    </row>
    <row r="108" spans="1:30" x14ac:dyDescent="0.2">
      <c r="A108" s="2282"/>
      <c r="B108" s="2282"/>
      <c r="C108" s="2282"/>
      <c r="D108" s="2282"/>
      <c r="E108" s="2282"/>
      <c r="F108" s="2282"/>
      <c r="G108" s="2282"/>
      <c r="H108" s="2282"/>
      <c r="I108" s="2289"/>
      <c r="J108" s="2282"/>
      <c r="K108" s="2282"/>
      <c r="L108" s="2282"/>
      <c r="M108" s="2282"/>
      <c r="N108" s="2282"/>
      <c r="O108" s="2282"/>
      <c r="P108" s="2282"/>
      <c r="Q108" s="2282"/>
      <c r="R108" s="2282"/>
      <c r="S108" s="2282"/>
      <c r="T108" s="2282"/>
      <c r="U108" s="2282"/>
      <c r="V108" s="2282"/>
      <c r="W108" s="2282"/>
      <c r="X108" s="2282"/>
      <c r="Y108" s="2282"/>
      <c r="Z108" s="2282"/>
    </row>
  </sheetData>
  <sheetProtection algorithmName="SHA-512" hashValue="Z5gUbZ1eO2uew2ErcjzDhfadDSB59jweaV3NSNNTo6tC+wUllMQELJv2tuuwk+lCIx34Ht68b262l/NtMLwk2A==" saltValue="MQV8BEHUsrzvC1BjFC4DSg==" spinCount="100000" sheet="1" objects="1" scenarios="1"/>
  <mergeCells count="42">
    <mergeCell ref="B106:E106"/>
    <mergeCell ref="B99:F99"/>
    <mergeCell ref="B105:F105"/>
    <mergeCell ref="B91:F91"/>
    <mergeCell ref="D93:F93"/>
    <mergeCell ref="D64:E64"/>
    <mergeCell ref="C77:E77"/>
    <mergeCell ref="D68:E68"/>
    <mergeCell ref="B89:K89"/>
    <mergeCell ref="B87:K87"/>
    <mergeCell ref="D82:H82"/>
    <mergeCell ref="D78:E78"/>
    <mergeCell ref="D79:E79"/>
    <mergeCell ref="D80:E80"/>
    <mergeCell ref="C70:E70"/>
    <mergeCell ref="D71:E71"/>
    <mergeCell ref="D75:E75"/>
    <mergeCell ref="D61:E61"/>
    <mergeCell ref="C63:E63"/>
    <mergeCell ref="C49:E49"/>
    <mergeCell ref="D51:E51"/>
    <mergeCell ref="D50:E50"/>
    <mergeCell ref="D55:E55"/>
    <mergeCell ref="D56:E56"/>
    <mergeCell ref="D52:E52"/>
    <mergeCell ref="C54:E54"/>
    <mergeCell ref="D47:E47"/>
    <mergeCell ref="B1:K1"/>
    <mergeCell ref="D44:E44"/>
    <mergeCell ref="B20:K20"/>
    <mergeCell ref="C43:E43"/>
    <mergeCell ref="B38:K38"/>
    <mergeCell ref="B32:K32"/>
    <mergeCell ref="I3:K3"/>
    <mergeCell ref="B21:K21"/>
    <mergeCell ref="B22:K22"/>
    <mergeCell ref="B26:E26"/>
    <mergeCell ref="C27:E27"/>
    <mergeCell ref="C33:E33"/>
    <mergeCell ref="B42:E42"/>
    <mergeCell ref="D45:E45"/>
    <mergeCell ref="D46:E46"/>
  </mergeCells>
  <phoneticPr fontId="14" type="noConversion"/>
  <conditionalFormatting sqref="A98:Z98 A91:A97 G91:Z97 A99 G99:Z99 A107:Z108 G105:Z105 A105:B105 F106:Z106 A106 A100:Z104 A1:Z90">
    <cfRule type="expression" dxfId="101" priority="8" stopIfTrue="1">
      <formula>IF(ISERROR(A1),TRUE,FALSE)</formula>
    </cfRule>
  </conditionalFormatting>
  <conditionalFormatting sqref="B91 B92:F92 B93:D93 B94:F97">
    <cfRule type="expression" dxfId="100" priority="4" stopIfTrue="1">
      <formula>IF(ISERROR(B91),TRUE,FALSE)</formula>
    </cfRule>
  </conditionalFormatting>
  <conditionalFormatting sqref="B99">
    <cfRule type="expression" dxfId="99" priority="3" stopIfTrue="1">
      <formula>IF(ISERROR(B99),TRUE,FALSE)</formula>
    </cfRule>
  </conditionalFormatting>
  <conditionalFormatting sqref="B106">
    <cfRule type="expression" dxfId="98" priority="1" stopIfTrue="1">
      <formula>IF(ISERROR(B106),TRUE,FALSE)</formula>
    </cfRule>
  </conditionalFormatting>
  <pageMargins left="0.78740157499999996" right="0.78740157499999996" top="0.984251969" bottom="0.984251969" header="0.4921259845" footer="0.4921259845"/>
  <pageSetup paperSize="9" scale="2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3185" r:id="rId4" name="Button 1">
              <controlPr defaultSize="0" print="0" autoFill="0" autoPict="0" macro="[0]!Retour_Presentation">
                <anchor moveWithCells="1" sizeWithCells="1">
                  <from>
                    <xdr:col>11</xdr:col>
                    <xdr:colOff>76200</xdr:colOff>
                    <xdr:row>0</xdr:row>
                    <xdr:rowOff>57150</xdr:rowOff>
                  </from>
                  <to>
                    <xdr:col>16</xdr:col>
                    <xdr:colOff>133350</xdr:colOff>
                    <xdr:row>3</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1">
    <tabColor theme="4" tint="-0.249977111117893"/>
    <pageSetUpPr fitToPage="1"/>
  </sheetPr>
  <dimension ref="A1:BZ70"/>
  <sheetViews>
    <sheetView workbookViewId="0">
      <selection activeCell="B24" sqref="B24:G24"/>
    </sheetView>
  </sheetViews>
  <sheetFormatPr baseColWidth="10" defaultColWidth="11.42578125" defaultRowHeight="12.75" x14ac:dyDescent="0.2"/>
  <cols>
    <col min="1" max="1" width="3.85546875" style="32" customWidth="1"/>
    <col min="2" max="2" width="5.140625" style="32" customWidth="1"/>
    <col min="3" max="3" width="60.5703125" style="32" customWidth="1"/>
    <col min="4" max="4" width="12.85546875" style="32" customWidth="1"/>
    <col min="5" max="5" width="12.85546875" style="32" bestFit="1" customWidth="1"/>
    <col min="6" max="7" width="11.42578125" style="32"/>
    <col min="8" max="16" width="4.42578125" style="32" customWidth="1"/>
    <col min="17" max="26" width="12" style="32" customWidth="1"/>
    <col min="27" max="27" width="13.42578125" style="32" hidden="1" customWidth="1"/>
    <col min="28" max="28" width="7.85546875" style="32" hidden="1" customWidth="1"/>
    <col min="29" max="33" width="5.140625" style="32" hidden="1" customWidth="1"/>
    <col min="34" max="34" width="11.85546875" style="32" hidden="1" customWidth="1"/>
    <col min="35" max="35" width="13.42578125" style="32" hidden="1" customWidth="1"/>
    <col min="36" max="36" width="11.7109375" style="32" hidden="1" customWidth="1"/>
    <col min="37" max="37" width="2" style="32" hidden="1" customWidth="1"/>
    <col min="38" max="38" width="11" style="32" hidden="1" customWidth="1"/>
    <col min="39" max="39" width="11.5703125" style="32" hidden="1" customWidth="1"/>
    <col min="40" max="40" width="8" style="32" hidden="1" customWidth="1"/>
    <col min="41" max="41" width="7" style="32" hidden="1" customWidth="1"/>
    <col min="42" max="42" width="4" style="32" hidden="1" customWidth="1"/>
    <col min="43" max="43" width="4.5703125" style="32" hidden="1" customWidth="1"/>
    <col min="44" max="44" width="11.5703125" style="32" hidden="1" customWidth="1"/>
    <col min="45" max="45" width="8" style="32" hidden="1" customWidth="1"/>
    <col min="46" max="46" width="7" style="32" hidden="1" customWidth="1"/>
    <col min="47" max="47" width="4" style="32" hidden="1" customWidth="1"/>
    <col min="48" max="48" width="4.5703125" style="32" hidden="1" customWidth="1"/>
    <col min="49" max="78" width="11.42578125" style="32" hidden="1" customWidth="1"/>
    <col min="79" max="16384" width="11.42578125" style="32"/>
  </cols>
  <sheetData>
    <row r="1" spans="1:26" ht="18" x14ac:dyDescent="0.2">
      <c r="A1" s="2171"/>
      <c r="B1" s="3123" t="s">
        <v>211</v>
      </c>
      <c r="C1" s="3123"/>
      <c r="D1" s="3123"/>
      <c r="E1" s="3123"/>
      <c r="F1" s="3123"/>
      <c r="G1" s="3123"/>
      <c r="H1" s="2171"/>
      <c r="I1" s="2171"/>
      <c r="J1" s="2171"/>
      <c r="K1" s="2171"/>
      <c r="L1" s="2171"/>
      <c r="M1" s="2171"/>
      <c r="N1" s="2171"/>
      <c r="O1" s="2171"/>
      <c r="P1" s="2171"/>
      <c r="Q1" s="2171"/>
      <c r="R1" s="2171"/>
      <c r="S1" s="2171"/>
      <c r="T1" s="2171"/>
      <c r="U1" s="2171"/>
      <c r="V1" s="2171"/>
      <c r="W1" s="2171"/>
      <c r="X1" s="2171"/>
      <c r="Y1" s="2171"/>
      <c r="Z1" s="2171"/>
    </row>
    <row r="2" spans="1:26" ht="13.5" thickBot="1" x14ac:dyDescent="0.25">
      <c r="A2" s="2171"/>
      <c r="B2" s="2163"/>
      <c r="C2" s="2163"/>
      <c r="D2" s="2163"/>
      <c r="E2" s="2163"/>
      <c r="F2" s="2163"/>
      <c r="G2" s="2163"/>
      <c r="H2" s="2171"/>
      <c r="I2" s="2171"/>
      <c r="J2" s="2171"/>
      <c r="K2" s="2171"/>
      <c r="L2" s="2171"/>
      <c r="M2" s="2171"/>
      <c r="N2" s="2171"/>
      <c r="O2" s="2171"/>
      <c r="P2" s="2171"/>
      <c r="Q2" s="2171"/>
      <c r="R2" s="2171"/>
      <c r="S2" s="2171"/>
      <c r="T2" s="2171"/>
      <c r="U2" s="2171"/>
      <c r="V2" s="2171"/>
      <c r="W2" s="2171"/>
      <c r="X2" s="2171"/>
      <c r="Y2" s="2171"/>
      <c r="Z2" s="2171"/>
    </row>
    <row r="3" spans="1:26" ht="14.25" thickTop="1" thickBot="1" x14ac:dyDescent="0.25">
      <c r="A3" s="2171"/>
      <c r="B3" s="2163"/>
      <c r="C3" s="2163"/>
      <c r="D3" s="2163"/>
      <c r="E3" s="2397" t="s">
        <v>450</v>
      </c>
      <c r="F3" s="2398" t="s">
        <v>451</v>
      </c>
      <c r="G3" s="2399" t="s">
        <v>755</v>
      </c>
      <c r="H3" s="2171"/>
      <c r="I3" s="2171"/>
      <c r="J3" s="2171"/>
      <c r="K3" s="2171"/>
      <c r="L3" s="2171"/>
      <c r="M3" s="2171"/>
      <c r="N3" s="2171"/>
      <c r="O3" s="2171"/>
      <c r="P3" s="2171"/>
      <c r="Q3" s="2171"/>
      <c r="R3" s="2171"/>
      <c r="S3" s="2171"/>
      <c r="T3" s="2171"/>
      <c r="U3" s="2171"/>
      <c r="V3" s="2171"/>
      <c r="W3" s="2171"/>
      <c r="X3" s="2171"/>
      <c r="Y3" s="2171"/>
      <c r="Z3" s="2171"/>
    </row>
    <row r="4" spans="1:26" ht="13.5" thickTop="1" x14ac:dyDescent="0.2">
      <c r="A4" s="2171"/>
      <c r="B4" s="3133" t="s">
        <v>432</v>
      </c>
      <c r="C4" s="3134"/>
      <c r="D4" s="2245"/>
      <c r="E4" s="2400"/>
      <c r="F4" s="2401"/>
      <c r="G4" s="2402"/>
      <c r="H4" s="2171"/>
      <c r="I4" s="2171"/>
      <c r="J4" s="2171"/>
      <c r="K4" s="2171"/>
      <c r="L4" s="2171"/>
      <c r="M4" s="2171"/>
      <c r="N4" s="2171"/>
      <c r="O4" s="2171"/>
      <c r="P4" s="2171"/>
      <c r="Q4" s="2171"/>
      <c r="R4" s="2171"/>
      <c r="S4" s="2171"/>
      <c r="T4" s="2171"/>
      <c r="U4" s="2171"/>
      <c r="V4" s="2171"/>
      <c r="W4" s="2171"/>
      <c r="X4" s="2171"/>
      <c r="Y4" s="2171"/>
      <c r="Z4" s="2171"/>
    </row>
    <row r="5" spans="1:26" x14ac:dyDescent="0.2">
      <c r="A5" s="2171"/>
      <c r="B5" s="2246"/>
      <c r="C5" s="2403" t="s">
        <v>209</v>
      </c>
      <c r="D5" s="2404">
        <f>SA_SFP_HerbeVL</f>
        <v>26</v>
      </c>
      <c r="E5" s="2405"/>
      <c r="F5" s="2406"/>
      <c r="G5" s="2407"/>
      <c r="H5" s="2171"/>
      <c r="I5" s="2171"/>
      <c r="J5" s="2171"/>
      <c r="K5" s="2171"/>
      <c r="L5" s="2171"/>
      <c r="M5" s="2171"/>
      <c r="N5" s="2171"/>
      <c r="O5" s="2171"/>
      <c r="P5" s="2171"/>
      <c r="Q5" s="2171"/>
      <c r="R5" s="2171"/>
      <c r="S5" s="2171"/>
      <c r="T5" s="2171"/>
      <c r="U5" s="2171"/>
      <c r="V5" s="2171"/>
      <c r="W5" s="2171"/>
      <c r="X5" s="2171"/>
      <c r="Y5" s="2171"/>
      <c r="Z5" s="2171"/>
    </row>
    <row r="6" spans="1:26" x14ac:dyDescent="0.2">
      <c r="A6" s="2171"/>
      <c r="B6" s="2246"/>
      <c r="C6" s="2403" t="s">
        <v>622</v>
      </c>
      <c r="D6" s="2404">
        <f>VL_UgbVL/D5</f>
        <v>2.0931969230769232</v>
      </c>
      <c r="E6" s="2405"/>
      <c r="F6" s="2406"/>
      <c r="G6" s="2407"/>
      <c r="H6" s="2171"/>
      <c r="I6" s="2171"/>
      <c r="J6" s="2171"/>
      <c r="K6" s="2171"/>
      <c r="L6" s="2171"/>
      <c r="M6" s="2171"/>
      <c r="N6" s="2171"/>
      <c r="O6" s="2171"/>
      <c r="P6" s="2171"/>
      <c r="Q6" s="2171"/>
      <c r="R6" s="2171"/>
      <c r="S6" s="2171"/>
      <c r="T6" s="2171"/>
      <c r="U6" s="2171"/>
      <c r="V6" s="2171"/>
      <c r="W6" s="2171"/>
      <c r="X6" s="2171"/>
      <c r="Y6" s="2171"/>
      <c r="Z6" s="2171"/>
    </row>
    <row r="7" spans="1:26" x14ac:dyDescent="0.2">
      <c r="A7" s="2171"/>
      <c r="B7" s="2246"/>
      <c r="C7" s="2408" t="s">
        <v>2166</v>
      </c>
      <c r="D7" s="2404"/>
      <c r="E7" s="2409">
        <f>NPK_Organiques!G10</f>
        <v>2182.5414402195352</v>
      </c>
      <c r="F7" s="2410">
        <f>NPK_Organiques!J10</f>
        <v>712.61590498395185</v>
      </c>
      <c r="G7" s="2411">
        <f>NPK_Organiques!M10</f>
        <v>2918.1808867345994</v>
      </c>
      <c r="H7" s="2171"/>
      <c r="I7" s="2171"/>
      <c r="J7" s="2171"/>
      <c r="K7" s="2171"/>
      <c r="L7" s="2171"/>
      <c r="M7" s="2171"/>
      <c r="N7" s="2171"/>
      <c r="O7" s="2171"/>
      <c r="P7" s="2171"/>
      <c r="Q7" s="2171"/>
      <c r="R7" s="2171"/>
      <c r="S7" s="2171"/>
      <c r="T7" s="2171"/>
      <c r="U7" s="2171"/>
      <c r="V7" s="2171"/>
      <c r="W7" s="2171"/>
      <c r="X7" s="2171"/>
      <c r="Y7" s="2171"/>
      <c r="Z7" s="2171"/>
    </row>
    <row r="8" spans="1:26" ht="13.5" thickBot="1" x14ac:dyDescent="0.25">
      <c r="A8" s="2171"/>
      <c r="B8" s="2412"/>
      <c r="C8" s="2413" t="s">
        <v>2066</v>
      </c>
      <c r="D8" s="2414"/>
      <c r="E8" s="2415">
        <f>E7/$D5</f>
        <v>83.943901546905195</v>
      </c>
      <c r="F8" s="2416">
        <f>F7/$D5</f>
        <v>27.408304037844303</v>
      </c>
      <c r="G8" s="2417">
        <f>G7/$D5</f>
        <v>112.23772641286921</v>
      </c>
      <c r="H8" s="2171"/>
      <c r="I8" s="2171"/>
      <c r="J8" s="2171"/>
      <c r="K8" s="2171"/>
      <c r="L8" s="2171"/>
      <c r="M8" s="2171"/>
      <c r="N8" s="2171"/>
      <c r="O8" s="2171"/>
      <c r="P8" s="2171"/>
      <c r="Q8" s="2171"/>
      <c r="R8" s="2171"/>
      <c r="S8" s="2171"/>
      <c r="T8" s="2171"/>
      <c r="U8" s="2171"/>
      <c r="V8" s="2171"/>
      <c r="W8" s="2171"/>
      <c r="X8" s="2171"/>
      <c r="Y8" s="2171"/>
      <c r="Z8" s="2171"/>
    </row>
    <row r="9" spans="1:26" ht="13.5" thickTop="1" x14ac:dyDescent="0.2">
      <c r="A9" s="2171"/>
      <c r="B9" s="3133" t="s">
        <v>433</v>
      </c>
      <c r="C9" s="3134"/>
      <c r="D9" s="2418"/>
      <c r="E9" s="2419"/>
      <c r="F9" s="2420"/>
      <c r="G9" s="2421"/>
      <c r="H9" s="2171"/>
      <c r="I9" s="2171"/>
      <c r="J9" s="2171"/>
      <c r="K9" s="2171"/>
      <c r="L9" s="2171"/>
      <c r="M9" s="2171"/>
      <c r="N9" s="2171"/>
      <c r="O9" s="2171"/>
      <c r="P9" s="2171"/>
      <c r="Q9" s="2171"/>
      <c r="R9" s="2171"/>
      <c r="S9" s="2171"/>
      <c r="T9" s="2171"/>
      <c r="U9" s="2171"/>
      <c r="V9" s="2171"/>
      <c r="W9" s="2171"/>
      <c r="X9" s="2171"/>
      <c r="Y9" s="2171"/>
      <c r="Z9" s="2171"/>
    </row>
    <row r="10" spans="1:26" x14ac:dyDescent="0.2">
      <c r="A10" s="2171"/>
      <c r="B10" s="2246"/>
      <c r="C10" s="2403" t="s">
        <v>210</v>
      </c>
      <c r="D10" s="2404">
        <f>SA_SFP_HerbeVAL</f>
        <v>18</v>
      </c>
      <c r="E10" s="2409"/>
      <c r="F10" s="2410"/>
      <c r="G10" s="2411"/>
      <c r="H10" s="2171"/>
      <c r="I10" s="2171"/>
      <c r="J10" s="2171"/>
      <c r="K10" s="2171"/>
      <c r="L10" s="2171"/>
      <c r="M10" s="2171"/>
      <c r="N10" s="2171"/>
      <c r="O10" s="2171"/>
      <c r="P10" s="2171"/>
      <c r="Q10" s="2171"/>
      <c r="R10" s="2171"/>
      <c r="S10" s="2171"/>
      <c r="T10" s="2171"/>
      <c r="U10" s="2171"/>
      <c r="V10" s="2171"/>
      <c r="W10" s="2171"/>
      <c r="X10" s="2171"/>
      <c r="Y10" s="2171"/>
      <c r="Z10" s="2171"/>
    </row>
    <row r="11" spans="1:26" x14ac:dyDescent="0.2">
      <c r="A11" s="2171"/>
      <c r="B11" s="2246"/>
      <c r="C11" s="2403" t="s">
        <v>622</v>
      </c>
      <c r="D11" s="2404">
        <f>(TA_UgbVL+TA_UgbGenAn1+EN_UgbMalAn1)/D10</f>
        <v>1.3416666666666666</v>
      </c>
      <c r="E11" s="2409"/>
      <c r="F11" s="2410"/>
      <c r="G11" s="2411"/>
      <c r="H11" s="2171"/>
      <c r="I11" s="2171"/>
      <c r="J11" s="2171"/>
      <c r="K11" s="2171"/>
      <c r="L11" s="2171"/>
      <c r="M11" s="2171"/>
      <c r="N11" s="2171"/>
      <c r="O11" s="2171"/>
      <c r="P11" s="2171"/>
      <c r="Q11" s="2171"/>
      <c r="R11" s="2171"/>
      <c r="S11" s="2171"/>
      <c r="T11" s="2171"/>
      <c r="U11" s="2171"/>
      <c r="V11" s="2171"/>
      <c r="W11" s="2171"/>
      <c r="X11" s="2171"/>
      <c r="Y11" s="2171"/>
      <c r="Z11" s="2171"/>
    </row>
    <row r="12" spans="1:26" x14ac:dyDescent="0.2">
      <c r="A12" s="2171"/>
      <c r="B12" s="2246"/>
      <c r="C12" s="2408" t="s">
        <v>2166</v>
      </c>
      <c r="D12" s="2404"/>
      <c r="E12" s="2409">
        <f>NPK_Organiques!G12</f>
        <v>1078</v>
      </c>
      <c r="F12" s="2410">
        <f>NPK_Organiques!J12</f>
        <v>335.5</v>
      </c>
      <c r="G12" s="2411">
        <f>NPK_Organiques!M12</f>
        <v>1738</v>
      </c>
      <c r="H12" s="2171"/>
      <c r="I12" s="2171"/>
      <c r="J12" s="2171"/>
      <c r="K12" s="2171"/>
      <c r="L12" s="2171"/>
      <c r="M12" s="2171"/>
      <c r="N12" s="2171"/>
      <c r="O12" s="2171"/>
      <c r="P12" s="2171"/>
      <c r="Q12" s="2171"/>
      <c r="R12" s="2171"/>
      <c r="S12" s="2171"/>
      <c r="T12" s="2171"/>
      <c r="U12" s="2171"/>
      <c r="V12" s="2171"/>
      <c r="W12" s="2171"/>
      <c r="X12" s="2171"/>
      <c r="Y12" s="2171"/>
      <c r="Z12" s="2171"/>
    </row>
    <row r="13" spans="1:26" x14ac:dyDescent="0.2">
      <c r="A13" s="2171"/>
      <c r="B13" s="2412"/>
      <c r="C13" s="2413" t="s">
        <v>2066</v>
      </c>
      <c r="D13" s="2414"/>
      <c r="E13" s="2415">
        <f>E12/$D10</f>
        <v>59.888888888888886</v>
      </c>
      <c r="F13" s="2416">
        <f>F12/$D10</f>
        <v>18.638888888888889</v>
      </c>
      <c r="G13" s="2417">
        <f>G12/$D10</f>
        <v>96.555555555555557</v>
      </c>
      <c r="H13" s="2171"/>
      <c r="I13" s="2171"/>
      <c r="J13" s="2171"/>
      <c r="K13" s="2171"/>
      <c r="L13" s="2171"/>
      <c r="M13" s="2171"/>
      <c r="N13" s="2171"/>
      <c r="O13" s="2171"/>
      <c r="P13" s="2171"/>
      <c r="Q13" s="2171"/>
      <c r="R13" s="2171"/>
      <c r="S13" s="2171"/>
      <c r="T13" s="2171"/>
      <c r="U13" s="2171"/>
      <c r="V13" s="2171"/>
      <c r="W13" s="2171"/>
      <c r="X13" s="2171"/>
      <c r="Y13" s="2171"/>
      <c r="Z13" s="2171"/>
    </row>
    <row r="14" spans="1:26" x14ac:dyDescent="0.2">
      <c r="A14" s="2171"/>
      <c r="B14" s="3135" t="s">
        <v>1408</v>
      </c>
      <c r="C14" s="3136"/>
      <c r="D14" s="2422"/>
      <c r="E14" s="2423"/>
      <c r="F14" s="2424"/>
      <c r="G14" s="2425"/>
      <c r="H14" s="2171"/>
      <c r="I14" s="2171"/>
      <c r="J14" s="2171"/>
      <c r="K14" s="2171"/>
      <c r="L14" s="2171"/>
      <c r="M14" s="2171"/>
      <c r="N14" s="2171"/>
      <c r="O14" s="2171"/>
      <c r="P14" s="2171"/>
      <c r="Q14" s="2171"/>
      <c r="R14" s="2171"/>
      <c r="S14" s="2171"/>
      <c r="T14" s="2171"/>
      <c r="U14" s="2171"/>
      <c r="V14" s="2171"/>
      <c r="W14" s="2171"/>
      <c r="X14" s="2171"/>
      <c r="Y14" s="2171"/>
      <c r="Z14" s="2171"/>
    </row>
    <row r="15" spans="1:26" x14ac:dyDescent="0.2">
      <c r="A15" s="2171"/>
      <c r="B15" s="2246"/>
      <c r="C15" s="2403" t="s">
        <v>437</v>
      </c>
      <c r="D15" s="2404">
        <f>Saisies_Exploitation!H26</f>
        <v>21</v>
      </c>
      <c r="E15" s="2409"/>
      <c r="F15" s="2410"/>
      <c r="G15" s="2411"/>
      <c r="H15" s="2171"/>
      <c r="I15" s="2171"/>
      <c r="J15" s="2171"/>
      <c r="K15" s="2171"/>
      <c r="L15" s="2171"/>
      <c r="M15" s="2171"/>
      <c r="N15" s="2171"/>
      <c r="O15" s="2171"/>
      <c r="P15" s="2171"/>
      <c r="Q15" s="2171"/>
      <c r="R15" s="2171"/>
      <c r="S15" s="2171"/>
      <c r="T15" s="2171"/>
      <c r="U15" s="2171"/>
      <c r="V15" s="2171"/>
      <c r="W15" s="2171"/>
      <c r="X15" s="2171"/>
      <c r="Y15" s="2171"/>
      <c r="Z15" s="2171"/>
    </row>
    <row r="16" spans="1:26" x14ac:dyDescent="0.2">
      <c r="A16" s="2171"/>
      <c r="B16" s="2246"/>
      <c r="C16" s="2403" t="s">
        <v>622</v>
      </c>
      <c r="D16" s="2404">
        <f>SUM(Saisies_Exploitation!L47:L49,Saisies_Exploitation!M60:M62,Saisies_Exploitation!L72,EN_UgbMalAn2,Saisies_Exploitation!N84:N87,EN_UgbGenAn2,Saisies_Exploitation!N107:N109,Saisies_Exploitation!N117:N118)/D15</f>
        <v>1.7246031746031747</v>
      </c>
      <c r="E16" s="2409"/>
      <c r="F16" s="2410"/>
      <c r="G16" s="2411"/>
      <c r="H16" s="2171"/>
      <c r="I16" s="2171"/>
      <c r="J16" s="2171"/>
      <c r="K16" s="2171"/>
      <c r="L16" s="2171"/>
      <c r="M16" s="2171"/>
      <c r="N16" s="2171"/>
      <c r="O16" s="2171"/>
      <c r="P16" s="2171"/>
      <c r="Q16" s="2171"/>
      <c r="R16" s="2171"/>
      <c r="S16" s="2171"/>
      <c r="T16" s="2171"/>
      <c r="U16" s="2171"/>
      <c r="V16" s="2171"/>
      <c r="W16" s="2171"/>
      <c r="X16" s="2171"/>
      <c r="Y16" s="2171"/>
      <c r="Z16" s="2171"/>
    </row>
    <row r="17" spans="1:46" x14ac:dyDescent="0.2">
      <c r="A17" s="2171"/>
      <c r="B17" s="2246"/>
      <c r="C17" s="2408" t="s">
        <v>2166</v>
      </c>
      <c r="D17" s="2248"/>
      <c r="E17" s="2409">
        <f>NPK_Organiques!G19-Pressions_Prairies!E7-E12</f>
        <v>2084.9999999999995</v>
      </c>
      <c r="F17" s="2410">
        <f>NPK_Organiques!J19-Pressions_Prairies!F7-F12</f>
        <v>699.61666666666679</v>
      </c>
      <c r="G17" s="2411">
        <f>NPK_Organiques!M19-Pressions_Prairies!G7-G12</f>
        <v>3514.8333333333339</v>
      </c>
      <c r="H17" s="2171"/>
      <c r="I17" s="2171"/>
      <c r="J17" s="2171"/>
      <c r="K17" s="2171"/>
      <c r="L17" s="2171"/>
      <c r="M17" s="2171"/>
      <c r="N17" s="2171"/>
      <c r="O17" s="2171"/>
      <c r="P17" s="2171"/>
      <c r="Q17" s="2171"/>
      <c r="R17" s="2171"/>
      <c r="S17" s="2171"/>
      <c r="T17" s="2171"/>
      <c r="U17" s="2171"/>
      <c r="V17" s="2171"/>
      <c r="W17" s="2171"/>
      <c r="X17" s="2171"/>
      <c r="Y17" s="2171"/>
      <c r="Z17" s="2171"/>
    </row>
    <row r="18" spans="1:46" x14ac:dyDescent="0.2">
      <c r="A18" s="2171"/>
      <c r="B18" s="2412"/>
      <c r="C18" s="2413" t="s">
        <v>2066</v>
      </c>
      <c r="D18" s="2426"/>
      <c r="E18" s="2415">
        <f>E17/$D15</f>
        <v>99.285714285714263</v>
      </c>
      <c r="F18" s="2416">
        <f>F17/$D15</f>
        <v>33.31507936507937</v>
      </c>
      <c r="G18" s="2417">
        <f>G17/$D15</f>
        <v>167.3730158730159</v>
      </c>
      <c r="H18" s="2171"/>
      <c r="I18" s="2171"/>
      <c r="J18" s="2171"/>
      <c r="K18" s="2171"/>
      <c r="L18" s="2171"/>
      <c r="M18" s="2171"/>
      <c r="N18" s="2171"/>
      <c r="O18" s="2171"/>
      <c r="P18" s="2171"/>
      <c r="Q18" s="2171"/>
      <c r="R18" s="2171"/>
      <c r="S18" s="2171"/>
      <c r="T18" s="2171"/>
      <c r="U18" s="2171"/>
      <c r="V18" s="2171"/>
      <c r="W18" s="2171"/>
      <c r="X18" s="2171"/>
      <c r="Y18" s="2171"/>
      <c r="Z18" s="2171"/>
    </row>
    <row r="19" spans="1:46" x14ac:dyDescent="0.2">
      <c r="A19" s="2171"/>
      <c r="B19" s="3137" t="s">
        <v>560</v>
      </c>
      <c r="C19" s="3138"/>
      <c r="D19" s="2028"/>
      <c r="E19" s="2029"/>
      <c r="F19" s="2030"/>
      <c r="G19" s="2031"/>
      <c r="H19" s="2171"/>
      <c r="I19" s="2171"/>
      <c r="J19" s="2171"/>
      <c r="K19" s="2171"/>
      <c r="L19" s="2171"/>
      <c r="M19" s="2171"/>
      <c r="N19" s="2171"/>
      <c r="O19" s="2171"/>
      <c r="P19" s="2171"/>
      <c r="Q19" s="2171"/>
      <c r="R19" s="2171"/>
      <c r="S19" s="2171"/>
      <c r="T19" s="2171"/>
      <c r="U19" s="2171"/>
      <c r="V19" s="2171"/>
      <c r="W19" s="2171"/>
      <c r="X19" s="2171"/>
      <c r="Y19" s="2171"/>
      <c r="Z19" s="2171"/>
      <c r="AB19" s="32" t="s">
        <v>8</v>
      </c>
    </row>
    <row r="20" spans="1:46" ht="27" customHeight="1" x14ac:dyDescent="0.2">
      <c r="A20" s="2171"/>
      <c r="B20" s="3130" t="s">
        <v>2064</v>
      </c>
      <c r="C20" s="3131"/>
      <c r="D20" s="3132"/>
      <c r="E20" s="2032"/>
      <c r="F20" s="2033"/>
      <c r="G20" s="2034"/>
      <c r="H20" s="2171"/>
      <c r="I20" s="2171"/>
      <c r="J20" s="2171"/>
      <c r="K20" s="2171"/>
      <c r="L20" s="2171"/>
      <c r="M20" s="2171"/>
      <c r="N20" s="2171"/>
      <c r="O20" s="2171"/>
      <c r="P20" s="2171"/>
      <c r="Q20" s="2171"/>
      <c r="R20" s="2171"/>
      <c r="S20" s="2171"/>
      <c r="T20" s="2171"/>
      <c r="U20" s="2171"/>
      <c r="V20" s="2171"/>
      <c r="W20" s="2171"/>
      <c r="X20" s="2171"/>
      <c r="Y20" s="2171"/>
      <c r="Z20" s="2171"/>
      <c r="AB20" s="176" t="s">
        <v>186</v>
      </c>
      <c r="AC20" s="176" t="s">
        <v>187</v>
      </c>
      <c r="AD20" s="176" t="s">
        <v>665</v>
      </c>
    </row>
    <row r="21" spans="1:46" x14ac:dyDescent="0.2">
      <c r="A21" s="2171"/>
      <c r="B21" s="2035"/>
      <c r="C21" s="2036" t="s">
        <v>729</v>
      </c>
      <c r="D21" s="2037"/>
      <c r="E21" s="2038">
        <f>E8*AB21</f>
        <v>20.985975386726299</v>
      </c>
      <c r="F21" s="2039">
        <f>F8*AC21</f>
        <v>23.297058432167656</v>
      </c>
      <c r="G21" s="2040">
        <f>G8*AD21</f>
        <v>112.23772641286921</v>
      </c>
      <c r="H21" s="2171"/>
      <c r="I21" s="2171"/>
      <c r="J21" s="2171"/>
      <c r="K21" s="2171"/>
      <c r="L21" s="2171"/>
      <c r="M21" s="2171"/>
      <c r="N21" s="2171"/>
      <c r="O21" s="2171"/>
      <c r="P21" s="2171"/>
      <c r="Q21" s="2171"/>
      <c r="R21" s="2171"/>
      <c r="S21" s="2171"/>
      <c r="T21" s="2171"/>
      <c r="U21" s="2171"/>
      <c r="V21" s="2171"/>
      <c r="W21" s="2171"/>
      <c r="X21" s="2171"/>
      <c r="Y21" s="2171"/>
      <c r="Z21" s="2171"/>
      <c r="AA21" s="801" t="str">
        <f>CONCATENATE(ADDRESS(ROW(E21),COLUMN(E21)),":",ADDRESS(ROW(G23),COLUMN(G23)))</f>
        <v>$E$21:$G$23</v>
      </c>
      <c r="AB21" s="800">
        <f>Paramètres!Y3</f>
        <v>0.25</v>
      </c>
      <c r="AC21" s="800">
        <f>Paramètres!Z3</f>
        <v>0.85</v>
      </c>
      <c r="AD21" s="800">
        <f>Paramètres!AA3</f>
        <v>1</v>
      </c>
    </row>
    <row r="22" spans="1:46" x14ac:dyDescent="0.2">
      <c r="A22" s="2171"/>
      <c r="B22" s="2035"/>
      <c r="C22" s="2036" t="s">
        <v>730</v>
      </c>
      <c r="D22" s="2037"/>
      <c r="E22" s="2038">
        <f>E13*AB21</f>
        <v>14.972222222222221</v>
      </c>
      <c r="F22" s="2039">
        <f>F13*AC21</f>
        <v>15.843055555555555</v>
      </c>
      <c r="G22" s="2040">
        <f>G13*AD21</f>
        <v>96.555555555555557</v>
      </c>
      <c r="H22" s="2171"/>
      <c r="I22" s="2171"/>
      <c r="J22" s="2171"/>
      <c r="K22" s="2171"/>
      <c r="L22" s="2171"/>
      <c r="M22" s="2171"/>
      <c r="N22" s="2171"/>
      <c r="O22" s="2171"/>
      <c r="P22" s="2171"/>
      <c r="Q22" s="2171"/>
      <c r="R22" s="2171"/>
      <c r="S22" s="2171"/>
      <c r="T22" s="2171"/>
      <c r="U22" s="2171"/>
      <c r="V22" s="2171"/>
      <c r="W22" s="2171"/>
      <c r="X22" s="2171"/>
      <c r="Y22" s="2171"/>
      <c r="Z22" s="2171"/>
    </row>
    <row r="23" spans="1:46" ht="13.5" thickBot="1" x14ac:dyDescent="0.25">
      <c r="A23" s="2171"/>
      <c r="B23" s="2035"/>
      <c r="C23" s="2036" t="s">
        <v>561</v>
      </c>
      <c r="D23" s="2037"/>
      <c r="E23" s="2038">
        <f>E18*AB21</f>
        <v>24.821428571428566</v>
      </c>
      <c r="F23" s="2041">
        <f>F18*AC21</f>
        <v>28.317817460317464</v>
      </c>
      <c r="G23" s="2040">
        <f>G18*AD21</f>
        <v>167.3730158730159</v>
      </c>
      <c r="H23" s="2171"/>
      <c r="I23" s="2171"/>
      <c r="J23" s="2171"/>
      <c r="K23" s="2171"/>
      <c r="L23" s="2171"/>
      <c r="M23" s="2171"/>
      <c r="N23" s="2171"/>
      <c r="O23" s="2171"/>
      <c r="P23" s="2171"/>
      <c r="Q23" s="2171"/>
      <c r="R23" s="2171"/>
      <c r="S23" s="2171"/>
      <c r="T23" s="2171"/>
      <c r="U23" s="2171"/>
      <c r="V23" s="2171"/>
      <c r="W23" s="2171"/>
      <c r="X23" s="2171"/>
      <c r="Y23" s="2171"/>
      <c r="Z23" s="2171"/>
    </row>
    <row r="24" spans="1:46" ht="43.5" customHeight="1" thickTop="1" x14ac:dyDescent="0.2">
      <c r="A24" s="2171"/>
      <c r="B24" s="3127" t="s">
        <v>2462</v>
      </c>
      <c r="C24" s="3128"/>
      <c r="D24" s="3128"/>
      <c r="E24" s="3128"/>
      <c r="F24" s="3128"/>
      <c r="G24" s="3129"/>
      <c r="H24" s="2171"/>
      <c r="I24" s="2171"/>
      <c r="J24" s="2171"/>
      <c r="K24" s="2171"/>
      <c r="L24" s="2171"/>
      <c r="M24" s="2171"/>
      <c r="N24" s="2171"/>
      <c r="O24" s="2171"/>
      <c r="P24" s="2171"/>
      <c r="Q24" s="2171"/>
      <c r="R24" s="2171"/>
      <c r="S24" s="2171"/>
      <c r="T24" s="2171"/>
      <c r="U24" s="2171"/>
      <c r="V24" s="2171"/>
      <c r="W24" s="2171"/>
      <c r="X24" s="2171"/>
      <c r="Y24" s="2171"/>
      <c r="Z24" s="2171"/>
    </row>
    <row r="25" spans="1:46" ht="30.75" customHeight="1" thickBot="1" x14ac:dyDescent="0.25">
      <c r="A25" s="2171"/>
      <c r="B25" s="3124" t="s">
        <v>2065</v>
      </c>
      <c r="C25" s="3125"/>
      <c r="D25" s="3125"/>
      <c r="E25" s="3125"/>
      <c r="F25" s="3125"/>
      <c r="G25" s="3126"/>
      <c r="H25" s="2171"/>
      <c r="I25" s="2171"/>
      <c r="J25" s="2171"/>
      <c r="K25" s="2171"/>
      <c r="L25" s="2171"/>
      <c r="M25" s="2171"/>
      <c r="N25" s="2171"/>
      <c r="O25" s="2171"/>
      <c r="P25" s="2171"/>
      <c r="Q25" s="2171"/>
      <c r="R25" s="2171"/>
      <c r="S25" s="2171"/>
      <c r="T25" s="2171"/>
      <c r="U25" s="2171"/>
      <c r="V25" s="2171"/>
      <c r="W25" s="2171"/>
      <c r="X25" s="2171"/>
      <c r="Y25" s="2171"/>
      <c r="Z25" s="2171"/>
    </row>
    <row r="26" spans="1:46" ht="13.5" thickTop="1" x14ac:dyDescent="0.2">
      <c r="A26" s="2171"/>
      <c r="B26" s="2171"/>
      <c r="C26" s="2171"/>
      <c r="D26" s="2171"/>
      <c r="E26" s="2171"/>
      <c r="F26" s="2171"/>
      <c r="G26" s="2171"/>
      <c r="H26" s="2171"/>
      <c r="I26" s="2171"/>
      <c r="J26" s="2171"/>
      <c r="K26" s="2171"/>
      <c r="L26" s="2171"/>
      <c r="M26" s="2171"/>
      <c r="N26" s="2171"/>
      <c r="O26" s="2171"/>
      <c r="P26" s="2171"/>
      <c r="Q26" s="2171"/>
      <c r="R26" s="2171"/>
      <c r="S26" s="2171"/>
      <c r="T26" s="2171"/>
      <c r="U26" s="2171"/>
      <c r="V26" s="2171"/>
      <c r="W26" s="2171"/>
      <c r="X26" s="2171"/>
      <c r="Y26" s="2171"/>
      <c r="Z26" s="2171"/>
    </row>
    <row r="27" spans="1:46" ht="5.0999999999999996" customHeight="1" x14ac:dyDescent="0.2">
      <c r="A27" s="1245"/>
      <c r="B27" s="1"/>
      <c r="C27" s="1"/>
      <c r="D27" s="1245"/>
      <c r="E27" s="1"/>
      <c r="F27" s="1"/>
      <c r="G27" s="1245"/>
      <c r="H27" s="1"/>
      <c r="I27" s="1"/>
      <c r="J27" s="1245"/>
      <c r="K27" s="1"/>
      <c r="L27" s="1"/>
      <c r="M27" s="1245"/>
      <c r="N27" s="1"/>
      <c r="O27" s="1"/>
      <c r="P27" s="1245"/>
      <c r="Q27" s="1"/>
      <c r="R27" s="1"/>
      <c r="S27" s="1245"/>
      <c r="T27" s="1"/>
      <c r="U27" s="1"/>
      <c r="V27" s="1245"/>
      <c r="W27" s="1"/>
      <c r="X27" s="1"/>
      <c r="Y27" s="1245"/>
      <c r="Z27" s="1"/>
    </row>
    <row r="28" spans="1:46" ht="18" x14ac:dyDescent="0.2">
      <c r="A28" s="1245"/>
      <c r="B28" s="2025" t="s">
        <v>2269</v>
      </c>
      <c r="C28" s="1"/>
      <c r="D28" s="1245"/>
      <c r="E28" s="1"/>
      <c r="F28" s="1"/>
      <c r="G28" s="1245"/>
      <c r="H28" s="1"/>
      <c r="I28" s="1"/>
      <c r="J28" s="1245"/>
      <c r="K28" s="1"/>
      <c r="L28" s="1"/>
      <c r="M28" s="1245"/>
      <c r="N28" s="1"/>
      <c r="O28" s="1"/>
      <c r="P28" s="1245"/>
      <c r="Q28" s="1"/>
      <c r="R28" s="1"/>
      <c r="S28" s="1245"/>
      <c r="T28" s="1"/>
      <c r="U28" s="1"/>
      <c r="V28" s="1245"/>
      <c r="W28" s="1"/>
      <c r="X28" s="1"/>
      <c r="Y28" s="1245"/>
      <c r="Z28" s="1"/>
      <c r="AM28" s="2026" t="s">
        <v>2049</v>
      </c>
      <c r="AN28" s="2026"/>
      <c r="AO28" s="2048" t="s">
        <v>2074</v>
      </c>
      <c r="AP28" s="2048" t="s">
        <v>2075</v>
      </c>
      <c r="AQ28" s="2048" t="s">
        <v>2076</v>
      </c>
      <c r="AR28" s="2048">
        <v>0</v>
      </c>
      <c r="AS28" s="2048" t="s">
        <v>2077</v>
      </c>
      <c r="AT28" s="2048" t="s">
        <v>2078</v>
      </c>
    </row>
    <row r="29" spans="1:46" ht="15" x14ac:dyDescent="0.2">
      <c r="A29" s="1245"/>
      <c r="B29" s="1"/>
      <c r="C29" s="1675" t="s">
        <v>452</v>
      </c>
      <c r="D29" s="1245"/>
      <c r="E29" s="1"/>
      <c r="F29" s="1"/>
      <c r="G29" s="1245"/>
      <c r="H29" s="1"/>
      <c r="I29" s="1"/>
      <c r="J29" s="1245"/>
      <c r="K29" s="1"/>
      <c r="L29" s="1"/>
      <c r="M29" s="1245"/>
      <c r="N29" s="1"/>
      <c r="O29" s="1"/>
      <c r="P29" s="1245"/>
      <c r="Q29" s="1"/>
      <c r="R29" s="1"/>
      <c r="S29" s="1245"/>
      <c r="T29" s="1"/>
      <c r="U29" s="1"/>
      <c r="V29" s="1245"/>
      <c r="W29" s="1"/>
      <c r="X29" s="1"/>
      <c r="Y29" s="1245"/>
      <c r="Z29" s="1"/>
      <c r="AA29" s="2026" t="s">
        <v>2045</v>
      </c>
      <c r="AE29" s="2044" t="s">
        <v>2074</v>
      </c>
      <c r="AF29" s="2044" t="s">
        <v>2075</v>
      </c>
      <c r="AG29" s="2044" t="s">
        <v>2076</v>
      </c>
      <c r="AH29" s="2044">
        <v>0</v>
      </c>
      <c r="AI29" s="2044" t="s">
        <v>2077</v>
      </c>
      <c r="AJ29" s="2044" t="s">
        <v>2078</v>
      </c>
      <c r="AL29" s="1762" t="str">
        <f>AA30</f>
        <v>0.95 (précoce)</v>
      </c>
      <c r="AM29" s="1748">
        <v>8</v>
      </c>
      <c r="AN29" s="1762">
        <v>1</v>
      </c>
      <c r="AO29" s="1748">
        <v>1.3899999999999998E-6</v>
      </c>
      <c r="AP29" s="1748">
        <v>-8.5633999999999992E-4</v>
      </c>
      <c r="AQ29" s="1748">
        <v>0.1958</v>
      </c>
      <c r="AR29" s="1748">
        <v>2.206</v>
      </c>
      <c r="AS29" s="1748">
        <v>80</v>
      </c>
      <c r="AT29" s="1748">
        <v>200</v>
      </c>
    </row>
    <row r="30" spans="1:46" x14ac:dyDescent="0.2">
      <c r="A30" s="1245"/>
      <c r="B30" s="1253"/>
      <c r="C30" s="1476" t="s">
        <v>2259</v>
      </c>
      <c r="D30" s="2051" t="s">
        <v>2047</v>
      </c>
      <c r="E30" s="1253" t="s">
        <v>2312</v>
      </c>
      <c r="F30" s="1"/>
      <c r="G30" s="1245"/>
      <c r="H30" s="1"/>
      <c r="I30" s="1"/>
      <c r="J30" s="1245"/>
      <c r="K30" s="1"/>
      <c r="L30" s="1"/>
      <c r="M30" s="1245"/>
      <c r="N30" s="1"/>
      <c r="O30" s="1"/>
      <c r="P30" s="1245"/>
      <c r="Q30" s="1"/>
      <c r="R30" s="1"/>
      <c r="S30" s="1245"/>
      <c r="T30" s="1"/>
      <c r="U30" s="1"/>
      <c r="V30" s="1245"/>
      <c r="W30" s="1"/>
      <c r="X30" s="1"/>
      <c r="Y30" s="1245"/>
      <c r="Z30" s="1"/>
      <c r="AA30" s="2026" t="s">
        <v>2046</v>
      </c>
      <c r="AB30" s="1748">
        <f>ROW(AM28)</f>
        <v>28</v>
      </c>
      <c r="AD30" s="1762">
        <f>VLOOKUP(UEL,AA30:AB32,2,FALSE)+VLOOKUP(Haut,AM29:AN35,2,FALSE)</f>
        <v>38</v>
      </c>
      <c r="AE30" s="1762">
        <f t="shared" ref="AE30:AJ30" ca="1" si="0">INDIRECT(ADDRESS($AD30,COLUMN(AO28),1,1))</f>
        <v>3.9600000000000002E-6</v>
      </c>
      <c r="AF30" s="1762">
        <f t="shared" ca="1" si="0"/>
        <v>-1.7388000000000002E-3</v>
      </c>
      <c r="AG30" s="1762">
        <f t="shared" ca="1" si="0"/>
        <v>0.26761999999999997</v>
      </c>
      <c r="AH30" s="1762">
        <f t="shared" ca="1" si="0"/>
        <v>3.5057999999999998</v>
      </c>
      <c r="AI30" s="1762">
        <f t="shared" ca="1" si="0"/>
        <v>50</v>
      </c>
      <c r="AJ30" s="1762">
        <f t="shared" ca="1" si="0"/>
        <v>160</v>
      </c>
      <c r="AM30" s="1748">
        <v>10</v>
      </c>
      <c r="AN30" s="1762">
        <v>2</v>
      </c>
      <c r="AO30" s="1748">
        <v>1.9800000000000001E-6</v>
      </c>
      <c r="AP30" s="1748">
        <v>-1.1134000000000001E-3</v>
      </c>
      <c r="AQ30" s="1748">
        <v>0.22091999999999998</v>
      </c>
      <c r="AR30" s="1748">
        <v>3.4620000000000002</v>
      </c>
      <c r="AS30" s="1748">
        <v>60</v>
      </c>
      <c r="AT30" s="1748">
        <v>200</v>
      </c>
    </row>
    <row r="31" spans="1:46" x14ac:dyDescent="0.2">
      <c r="A31" s="1245"/>
      <c r="B31" s="1"/>
      <c r="C31" s="1476" t="s">
        <v>2260</v>
      </c>
      <c r="D31" s="2049">
        <v>12</v>
      </c>
      <c r="E31" s="1253" t="s">
        <v>2249</v>
      </c>
      <c r="F31" s="1"/>
      <c r="G31" s="1245"/>
      <c r="H31" s="1"/>
      <c r="I31" s="1"/>
      <c r="J31" s="1245"/>
      <c r="K31" s="1"/>
      <c r="L31" s="1"/>
      <c r="M31" s="1245"/>
      <c r="N31" s="1"/>
      <c r="O31" s="1"/>
      <c r="P31" s="1245"/>
      <c r="Q31" s="1"/>
      <c r="R31" s="1"/>
      <c r="S31" s="1245"/>
      <c r="T31" s="1"/>
      <c r="U31" s="1"/>
      <c r="V31" s="1245"/>
      <c r="W31" s="1"/>
      <c r="X31" s="1"/>
      <c r="Y31" s="1245"/>
      <c r="Z31" s="1"/>
      <c r="AA31" s="2026" t="s">
        <v>2047</v>
      </c>
      <c r="AB31" s="1748">
        <f>AB30+7</f>
        <v>35</v>
      </c>
      <c r="AD31"/>
      <c r="AE31"/>
      <c r="AF31"/>
      <c r="AG31"/>
      <c r="AM31" s="1748">
        <v>12</v>
      </c>
      <c r="AN31" s="1762">
        <v>3</v>
      </c>
      <c r="AO31" s="1748">
        <v>3.3300000000000003E-6</v>
      </c>
      <c r="AP31" s="1748">
        <v>-1.5777E-3</v>
      </c>
      <c r="AQ31" s="1748">
        <v>0.26038</v>
      </c>
      <c r="AR31" s="1748">
        <v>3.9314</v>
      </c>
      <c r="AS31" s="1748">
        <v>50</v>
      </c>
      <c r="AT31" s="1748">
        <v>180</v>
      </c>
    </row>
    <row r="32" spans="1:46" x14ac:dyDescent="0.2">
      <c r="A32" s="1245"/>
      <c r="B32" s="1"/>
      <c r="C32" s="1476" t="s">
        <v>2261</v>
      </c>
      <c r="D32" s="2049">
        <v>50</v>
      </c>
      <c r="E32" s="1253" t="s">
        <v>2250</v>
      </c>
      <c r="F32" s="1"/>
      <c r="G32" s="1245"/>
      <c r="H32" s="1"/>
      <c r="I32" s="1"/>
      <c r="J32" s="1245"/>
      <c r="K32" s="1"/>
      <c r="L32" s="1"/>
      <c r="M32" s="1245"/>
      <c r="N32" s="1"/>
      <c r="O32" s="1"/>
      <c r="P32" s="1245"/>
      <c r="Q32" s="1"/>
      <c r="R32" s="1"/>
      <c r="S32" s="1245"/>
      <c r="T32" s="1"/>
      <c r="U32" s="1"/>
      <c r="V32" s="1245"/>
      <c r="W32" s="1"/>
      <c r="X32" s="1"/>
      <c r="Y32" s="1245"/>
      <c r="Z32" s="1"/>
      <c r="AA32" s="2026" t="s">
        <v>2048</v>
      </c>
      <c r="AB32" s="1748">
        <f>AB31+7</f>
        <v>42</v>
      </c>
      <c r="AD32"/>
      <c r="AE32"/>
      <c r="AF32"/>
      <c r="AG32"/>
      <c r="AM32" s="1748">
        <v>14</v>
      </c>
      <c r="AN32" s="1762">
        <v>4</v>
      </c>
      <c r="AO32" s="1748">
        <v>5.0200000000000002E-6</v>
      </c>
      <c r="AP32" s="1748">
        <v>-2.0885000000000001E-3</v>
      </c>
      <c r="AQ32" s="1748">
        <v>0.29898000000000002</v>
      </c>
      <c r="AR32" s="1748">
        <v>4.2202000000000002</v>
      </c>
      <c r="AS32" s="1748">
        <v>40</v>
      </c>
      <c r="AT32" s="1748">
        <v>160</v>
      </c>
    </row>
    <row r="33" spans="1:46" x14ac:dyDescent="0.2">
      <c r="A33" s="1245"/>
      <c r="B33" s="1"/>
      <c r="C33" s="1476" t="s">
        <v>2271</v>
      </c>
      <c r="D33" s="2050">
        <f ca="1">AE30*SurfOff^3+AF30*SurfOff^2+AG30*SurfOff+AH30</f>
        <v>13.034799999999997</v>
      </c>
      <c r="E33" s="1253" t="s">
        <v>2251</v>
      </c>
      <c r="F33" s="1"/>
      <c r="G33" s="1245"/>
      <c r="H33" s="1"/>
      <c r="I33" s="1"/>
      <c r="J33" s="1245"/>
      <c r="K33" s="1"/>
      <c r="L33" s="1"/>
      <c r="M33" s="1245"/>
      <c r="N33" s="1"/>
      <c r="O33" s="1"/>
      <c r="P33" s="1245"/>
      <c r="Q33" s="1"/>
      <c r="R33" s="1"/>
      <c r="S33" s="1245"/>
      <c r="T33" s="1"/>
      <c r="U33" s="1"/>
      <c r="V33" s="1245"/>
      <c r="W33" s="1"/>
      <c r="X33" s="1"/>
      <c r="Y33" s="1245"/>
      <c r="Z33" s="1"/>
      <c r="AD33"/>
      <c r="AE33"/>
      <c r="AF33"/>
      <c r="AG33"/>
      <c r="AM33" s="1748">
        <v>16</v>
      </c>
      <c r="AN33" s="1762">
        <v>5</v>
      </c>
      <c r="AO33" s="1748">
        <v>7.2999999999999996E-6</v>
      </c>
      <c r="AP33" s="1748">
        <v>-2.6411999999999998E-3</v>
      </c>
      <c r="AQ33" s="1748">
        <v>0.32969999999999999</v>
      </c>
      <c r="AR33" s="1748">
        <v>4.7934000000000001</v>
      </c>
      <c r="AS33" s="1748">
        <v>40</v>
      </c>
      <c r="AT33" s="1748">
        <v>140</v>
      </c>
    </row>
    <row r="34" spans="1:46" x14ac:dyDescent="0.2">
      <c r="A34" s="1245"/>
      <c r="B34" s="1"/>
      <c r="C34" s="3139" t="s">
        <v>2255</v>
      </c>
      <c r="D34" s="3139"/>
      <c r="E34" s="3139"/>
      <c r="F34" s="3139"/>
      <c r="G34" s="3139"/>
      <c r="H34" s="1"/>
      <c r="I34" s="1"/>
      <c r="J34" s="1245"/>
      <c r="K34" s="1"/>
      <c r="L34" s="1"/>
      <c r="M34" s="1245"/>
      <c r="N34" s="1"/>
      <c r="O34" s="1"/>
      <c r="P34" s="1245"/>
      <c r="Q34" s="1"/>
      <c r="R34" s="1"/>
      <c r="S34" s="1245"/>
      <c r="T34" s="1"/>
      <c r="U34" s="1"/>
      <c r="V34" s="1245"/>
      <c r="W34" s="1"/>
      <c r="X34" s="1"/>
      <c r="Y34" s="1245"/>
      <c r="Z34" s="1"/>
      <c r="AD34"/>
      <c r="AE34"/>
      <c r="AF34"/>
      <c r="AG34"/>
      <c r="AM34" s="1748">
        <v>18</v>
      </c>
      <c r="AN34" s="1762">
        <v>6</v>
      </c>
      <c r="AO34" s="1748">
        <v>1.2099999999999999E-5</v>
      </c>
      <c r="AP34" s="1748">
        <v>-3.7680000000000001E-3</v>
      </c>
      <c r="AQ34" s="1748">
        <v>0.40268999999999999</v>
      </c>
      <c r="AR34" s="1748">
        <v>4.1451000000000002</v>
      </c>
      <c r="AS34" s="1748">
        <v>30</v>
      </c>
      <c r="AT34" s="1748">
        <v>120</v>
      </c>
    </row>
    <row r="35" spans="1:46" ht="5.0999999999999996" customHeight="1" x14ac:dyDescent="0.2">
      <c r="A35" s="1245"/>
      <c r="B35" s="1"/>
      <c r="C35" s="1"/>
      <c r="D35" s="1245"/>
      <c r="E35" s="1"/>
      <c r="F35" s="1"/>
      <c r="G35" s="1245"/>
      <c r="H35" s="1"/>
      <c r="I35" s="1"/>
      <c r="J35" s="1245"/>
      <c r="K35" s="1"/>
      <c r="L35" s="1"/>
      <c r="M35" s="1245"/>
      <c r="N35" s="1"/>
      <c r="O35" s="1"/>
      <c r="P35" s="1245"/>
      <c r="Q35" s="1"/>
      <c r="R35" s="1"/>
      <c r="S35" s="1245"/>
      <c r="T35" s="1"/>
      <c r="U35" s="1"/>
      <c r="V35" s="1245"/>
      <c r="W35" s="1"/>
      <c r="X35" s="1"/>
      <c r="Y35" s="1245"/>
      <c r="Z35" s="1"/>
      <c r="AL35" s="2046"/>
      <c r="AM35" s="2047">
        <v>20</v>
      </c>
      <c r="AN35" s="1762">
        <v>7</v>
      </c>
      <c r="AO35" s="2047">
        <v>1.8179999999999999E-5</v>
      </c>
      <c r="AP35" s="2047">
        <v>-4.8788E-3</v>
      </c>
      <c r="AQ35" s="2047">
        <v>0.45553999999999994</v>
      </c>
      <c r="AR35" s="2047">
        <v>4.1595000000000004</v>
      </c>
      <c r="AS35" s="1748">
        <v>30</v>
      </c>
      <c r="AT35" s="1748">
        <v>100</v>
      </c>
    </row>
    <row r="36" spans="1:46" ht="15" customHeight="1" x14ac:dyDescent="0.2">
      <c r="A36" s="1245"/>
      <c r="B36" s="2025"/>
      <c r="C36" s="1675" t="s">
        <v>379</v>
      </c>
      <c r="D36" s="1245"/>
      <c r="E36" s="1"/>
      <c r="F36" s="1"/>
      <c r="G36" s="1245"/>
      <c r="H36" s="1"/>
      <c r="I36" s="1"/>
      <c r="J36" s="1245"/>
      <c r="K36" s="1"/>
      <c r="L36" s="1"/>
      <c r="M36" s="1245"/>
      <c r="N36" s="1"/>
      <c r="O36" s="1"/>
      <c r="P36" s="1245"/>
      <c r="Q36" s="1"/>
      <c r="R36" s="1"/>
      <c r="S36" s="1245"/>
      <c r="T36" s="1"/>
      <c r="U36" s="1"/>
      <c r="V36" s="1245"/>
      <c r="W36" s="1"/>
      <c r="X36" s="1"/>
      <c r="Y36" s="1245"/>
      <c r="Z36" s="1"/>
      <c r="AL36" s="1762" t="str">
        <f>AA31</f>
        <v>1.00 (optimum)</v>
      </c>
      <c r="AM36" s="1748">
        <v>8</v>
      </c>
      <c r="AN36" s="1762">
        <v>1</v>
      </c>
      <c r="AO36" s="1748">
        <v>1.5999999999999999E-6</v>
      </c>
      <c r="AP36" s="1748">
        <v>-9.3857999999999995E-4</v>
      </c>
      <c r="AQ36" s="1748">
        <v>0.20249</v>
      </c>
      <c r="AR36" s="1748">
        <v>1.6946000000000001</v>
      </c>
      <c r="AS36" s="1748">
        <v>70</v>
      </c>
      <c r="AT36" s="1748">
        <v>200</v>
      </c>
    </row>
    <row r="37" spans="1:46" ht="12.6" customHeight="1" x14ac:dyDescent="0.2">
      <c r="A37" s="1245"/>
      <c r="B37" s="1"/>
      <c r="C37" s="2127" t="str">
        <f>"Format "&amp;VLOOKUP(TA_FormVach,Pressions_Prairies!$AA$37:$AC$39,2)&amp;" : "</f>
        <v xml:space="preserve">Format léger : </v>
      </c>
      <c r="D37" s="2050" t="str">
        <f>VLOOKUP(TA_FormVach,Pressions_Prairies!$AA$37:$AC$39,3)</f>
        <v>12 à 15</v>
      </c>
      <c r="E37" s="1253" t="s">
        <v>2270</v>
      </c>
      <c r="F37" s="1"/>
      <c r="G37" s="1245"/>
      <c r="H37" s="1"/>
      <c r="I37" s="1"/>
      <c r="J37" s="1245"/>
      <c r="K37" s="1"/>
      <c r="L37" s="1"/>
      <c r="M37" s="1245"/>
      <c r="N37" s="1"/>
      <c r="O37" s="1"/>
      <c r="P37" s="1245"/>
      <c r="Q37" s="1"/>
      <c r="R37" s="1"/>
      <c r="S37" s="1245"/>
      <c r="T37" s="1"/>
      <c r="U37" s="1"/>
      <c r="V37" s="1245"/>
      <c r="W37" s="1"/>
      <c r="X37" s="1"/>
      <c r="Y37" s="1245"/>
      <c r="Z37" s="1"/>
      <c r="AA37" s="1748">
        <v>1</v>
      </c>
      <c r="AB37" s="2026" t="s">
        <v>935</v>
      </c>
      <c r="AC37" s="2026" t="s">
        <v>2252</v>
      </c>
      <c r="AL37" s="2046"/>
      <c r="AM37" s="1748">
        <v>10</v>
      </c>
      <c r="AN37" s="1762">
        <v>2</v>
      </c>
      <c r="AO37" s="1748">
        <v>2.2400000000000002E-6</v>
      </c>
      <c r="AP37" s="1748">
        <v>-1.2026000000000001E-3</v>
      </c>
      <c r="AQ37" s="1748">
        <v>0.22416</v>
      </c>
      <c r="AR37" s="1748">
        <v>3.2021000000000002</v>
      </c>
      <c r="AS37" s="1748">
        <v>60</v>
      </c>
      <c r="AT37" s="1748">
        <v>180</v>
      </c>
    </row>
    <row r="38" spans="1:46" ht="5.0999999999999996" customHeight="1" x14ac:dyDescent="0.2">
      <c r="A38" s="1245"/>
      <c r="B38" s="1"/>
      <c r="C38" s="1"/>
      <c r="D38" s="1245"/>
      <c r="E38" s="1"/>
      <c r="F38" s="1"/>
      <c r="G38" s="1245"/>
      <c r="H38" s="1"/>
      <c r="I38" s="1"/>
      <c r="J38" s="1245"/>
      <c r="K38" s="1"/>
      <c r="L38" s="1"/>
      <c r="M38" s="1245"/>
      <c r="N38" s="1"/>
      <c r="O38" s="1"/>
      <c r="P38" s="1245"/>
      <c r="Q38" s="1"/>
      <c r="R38" s="1"/>
      <c r="S38" s="1245"/>
      <c r="T38" s="1"/>
      <c r="U38" s="1"/>
      <c r="V38" s="1245"/>
      <c r="W38" s="1"/>
      <c r="X38" s="1"/>
      <c r="Y38" s="1245"/>
      <c r="Z38" s="1"/>
      <c r="AA38" s="1748">
        <v>2</v>
      </c>
      <c r="AB38" s="2026" t="s">
        <v>936</v>
      </c>
      <c r="AC38" s="2026" t="s">
        <v>2253</v>
      </c>
      <c r="AL38" s="2046"/>
      <c r="AM38" s="1748">
        <v>12</v>
      </c>
      <c r="AN38" s="1762">
        <v>3</v>
      </c>
      <c r="AO38" s="1748">
        <v>3.9600000000000002E-6</v>
      </c>
      <c r="AP38" s="1748">
        <v>-1.7388000000000002E-3</v>
      </c>
      <c r="AQ38" s="1748">
        <v>0.26761999999999997</v>
      </c>
      <c r="AR38" s="1748">
        <v>3.5057999999999998</v>
      </c>
      <c r="AS38" s="1748">
        <v>50</v>
      </c>
      <c r="AT38" s="1748">
        <v>160</v>
      </c>
    </row>
    <row r="39" spans="1:46" ht="18" customHeight="1" x14ac:dyDescent="0.2">
      <c r="A39" s="1245"/>
      <c r="B39" s="2025" t="s">
        <v>2256</v>
      </c>
      <c r="C39" s="1"/>
      <c r="D39" s="1245"/>
      <c r="E39" s="1"/>
      <c r="F39" s="1"/>
      <c r="G39" s="1245"/>
      <c r="H39" s="1"/>
      <c r="I39" s="1"/>
      <c r="J39" s="1245"/>
      <c r="K39" s="1"/>
      <c r="L39" s="1"/>
      <c r="M39" s="1245"/>
      <c r="N39" s="1"/>
      <c r="O39" s="1"/>
      <c r="P39" s="1245"/>
      <c r="Q39" s="1"/>
      <c r="R39" s="1"/>
      <c r="S39" s="1245"/>
      <c r="T39" s="1"/>
      <c r="U39" s="1"/>
      <c r="V39" s="1245"/>
      <c r="W39" s="1"/>
      <c r="X39" s="1"/>
      <c r="Y39" s="1245"/>
      <c r="Z39" s="1"/>
      <c r="AA39" s="1748">
        <v>3</v>
      </c>
      <c r="AB39" s="2026" t="s">
        <v>937</v>
      </c>
      <c r="AC39" s="2026" t="s">
        <v>2254</v>
      </c>
      <c r="AM39" s="1748">
        <v>14</v>
      </c>
      <c r="AN39" s="1762">
        <v>4</v>
      </c>
      <c r="AO39" s="1748">
        <v>7.1999999999999997E-6</v>
      </c>
      <c r="AP39" s="1748">
        <v>-2.6079999999999996E-3</v>
      </c>
      <c r="AQ39" s="1748">
        <v>0.3296</v>
      </c>
      <c r="AR39" s="1748">
        <v>3.3380000000000001</v>
      </c>
      <c r="AS39" s="1748">
        <v>40</v>
      </c>
      <c r="AT39" s="1748">
        <v>140</v>
      </c>
    </row>
    <row r="40" spans="1:46" ht="12.6" customHeight="1" x14ac:dyDescent="0.2">
      <c r="A40" s="1245"/>
      <c r="B40" s="1"/>
      <c r="C40" s="1675" t="s">
        <v>2258</v>
      </c>
      <c r="D40" s="2126" t="s">
        <v>2262</v>
      </c>
      <c r="E40" s="1476"/>
      <c r="F40" s="1253"/>
      <c r="G40" s="1253"/>
      <c r="H40" s="1253"/>
      <c r="I40" s="1253"/>
      <c r="J40" s="1253"/>
      <c r="K40" s="1245"/>
      <c r="L40" s="1"/>
      <c r="M40" s="1245"/>
      <c r="N40" s="1"/>
      <c r="O40" s="1"/>
      <c r="P40" s="1245"/>
      <c r="Q40" s="1"/>
      <c r="R40" s="1"/>
      <c r="S40" s="1245"/>
      <c r="T40" s="1"/>
      <c r="U40" s="1"/>
      <c r="V40" s="1245"/>
      <c r="W40" s="1"/>
      <c r="X40" s="1"/>
      <c r="Y40" s="1245"/>
      <c r="Z40" s="1"/>
      <c r="AM40" s="1748">
        <v>16</v>
      </c>
      <c r="AN40" s="1762">
        <v>5</v>
      </c>
      <c r="AO40" s="1748">
        <v>1.081E-5</v>
      </c>
      <c r="AP40" s="1748">
        <v>-3.4237E-3</v>
      </c>
      <c r="AQ40" s="1748">
        <v>0.37775999999999998</v>
      </c>
      <c r="AR40" s="1748">
        <v>3.4041000000000001</v>
      </c>
      <c r="AS40" s="1748">
        <v>30</v>
      </c>
      <c r="AT40" s="1748">
        <v>120</v>
      </c>
    </row>
    <row r="41" spans="1:46" ht="12.6" customHeight="1" x14ac:dyDescent="0.2">
      <c r="A41" s="1245"/>
      <c r="B41" s="1"/>
      <c r="C41" s="1253"/>
      <c r="D41" s="2049"/>
      <c r="E41" s="1476"/>
      <c r="F41" s="1253"/>
      <c r="G41" s="1253"/>
      <c r="H41" s="1253"/>
      <c r="I41" s="1253"/>
      <c r="J41" s="1253"/>
      <c r="K41" s="1245"/>
      <c r="L41" s="1"/>
      <c r="M41" s="1245"/>
      <c r="N41" s="1"/>
      <c r="O41" s="1"/>
      <c r="P41" s="1245"/>
      <c r="Q41" s="1"/>
      <c r="R41" s="1"/>
      <c r="S41" s="1245"/>
      <c r="T41" s="1"/>
      <c r="U41" s="1"/>
      <c r="V41" s="1245"/>
      <c r="W41" s="1"/>
      <c r="X41" s="1"/>
      <c r="Y41" s="1245"/>
      <c r="Z41" s="1"/>
      <c r="AB41" s="1433">
        <v>1</v>
      </c>
      <c r="AC41" s="2132" t="s">
        <v>2257</v>
      </c>
      <c r="AM41" s="1748">
        <v>18</v>
      </c>
      <c r="AN41" s="1762">
        <v>6</v>
      </c>
      <c r="AO41" s="1748">
        <v>1.218E-5</v>
      </c>
      <c r="AP41" s="1748">
        <v>-3.6944999999999999E-3</v>
      </c>
      <c r="AQ41" s="1748">
        <v>0.38385000000000002</v>
      </c>
      <c r="AR41" s="1748">
        <v>4.3186</v>
      </c>
      <c r="AS41" s="1748">
        <v>30</v>
      </c>
      <c r="AT41" s="1748">
        <v>120</v>
      </c>
    </row>
    <row r="42" spans="1:46" ht="12.6" customHeight="1" x14ac:dyDescent="0.2">
      <c r="A42" s="1245"/>
      <c r="B42" s="1"/>
      <c r="C42" s="1"/>
      <c r="D42" s="2126" t="s">
        <v>2263</v>
      </c>
      <c r="E42" s="1476"/>
      <c r="F42" s="1253"/>
      <c r="G42" s="1253"/>
      <c r="H42" s="1253"/>
      <c r="I42" s="1253"/>
      <c r="J42" s="1253"/>
      <c r="K42" s="1245"/>
      <c r="L42" s="1"/>
      <c r="M42" s="1245"/>
      <c r="N42" s="1"/>
      <c r="O42" s="1"/>
      <c r="P42" s="1245"/>
      <c r="Q42" s="1"/>
      <c r="R42" s="1"/>
      <c r="S42" s="1245"/>
      <c r="T42" s="1"/>
      <c r="U42" s="1"/>
      <c r="V42" s="1245"/>
      <c r="W42" s="1"/>
      <c r="X42" s="1"/>
      <c r="Y42" s="1245"/>
      <c r="Z42" s="1"/>
      <c r="AA42" s="1748">
        <v>1</v>
      </c>
      <c r="AB42" s="1748">
        <v>3.4590000000000003E-2</v>
      </c>
      <c r="AM42" s="2047">
        <v>20</v>
      </c>
      <c r="AN42" s="1762">
        <v>7</v>
      </c>
      <c r="AO42" s="1748">
        <v>1.6919999999999997E-5</v>
      </c>
      <c r="AP42" s="1748">
        <v>-4.5433000000000001E-3</v>
      </c>
      <c r="AQ42" s="1748">
        <v>0.41968999999999995</v>
      </c>
      <c r="AR42" s="1748">
        <v>4.6595000000000004</v>
      </c>
      <c r="AS42" s="1748">
        <v>30</v>
      </c>
      <c r="AT42" s="1748">
        <v>100</v>
      </c>
    </row>
    <row r="43" spans="1:46" ht="12.6" customHeight="1" x14ac:dyDescent="0.2">
      <c r="A43" s="1245"/>
      <c r="B43" s="1"/>
      <c r="C43" s="1"/>
      <c r="D43" s="2050">
        <f>VLOOKUP(Race_Croi,AA42:AB45,2)*Pds_Croi^0.9</f>
        <v>0</v>
      </c>
      <c r="E43" s="2126" t="s">
        <v>2264</v>
      </c>
      <c r="F43" s="1253"/>
      <c r="G43" s="1253"/>
      <c r="H43" s="1253"/>
      <c r="I43" s="1253"/>
      <c r="J43" s="1253"/>
      <c r="K43" s="1245"/>
      <c r="L43" s="1"/>
      <c r="M43" s="1245"/>
      <c r="N43" s="1"/>
      <c r="O43" s="1"/>
      <c r="P43" s="1245"/>
      <c r="Q43" s="1"/>
      <c r="R43" s="1"/>
      <c r="S43" s="1245"/>
      <c r="T43" s="1"/>
      <c r="U43" s="1"/>
      <c r="V43" s="1245"/>
      <c r="W43" s="1"/>
      <c r="X43" s="1"/>
      <c r="Y43" s="1245"/>
      <c r="Z43" s="1"/>
      <c r="AA43" s="1748">
        <v>2</v>
      </c>
      <c r="AB43" s="1748">
        <v>3.1150000000000001E-2</v>
      </c>
      <c r="AL43" s="1762" t="str">
        <f>AA32</f>
        <v>1.05 (tardif)</v>
      </c>
      <c r="AM43" s="1748">
        <v>8</v>
      </c>
      <c r="AN43" s="1762">
        <v>1</v>
      </c>
      <c r="AO43" s="1748">
        <v>1.33E-6</v>
      </c>
      <c r="AP43" s="1748">
        <v>-8.1448000000000002E-4</v>
      </c>
      <c r="AQ43" s="1748">
        <v>0.18095</v>
      </c>
      <c r="AR43" s="1748">
        <v>2.4657</v>
      </c>
      <c r="AS43" s="1748">
        <v>70</v>
      </c>
      <c r="AT43" s="1748">
        <v>200</v>
      </c>
    </row>
    <row r="44" spans="1:46" ht="12.6" customHeight="1" x14ac:dyDescent="0.2">
      <c r="A44" s="1245"/>
      <c r="B44" s="1"/>
      <c r="C44" s="1"/>
      <c r="D44" s="1253"/>
      <c r="E44" s="1253"/>
      <c r="F44" s="1253"/>
      <c r="G44" s="1253"/>
      <c r="H44" s="1253"/>
      <c r="I44" s="1253"/>
      <c r="J44" s="1253"/>
      <c r="K44" s="1245"/>
      <c r="L44" s="1"/>
      <c r="M44" s="1245"/>
      <c r="N44" s="1"/>
      <c r="O44" s="1"/>
      <c r="P44" s="1245"/>
      <c r="Q44" s="1"/>
      <c r="R44" s="1"/>
      <c r="S44" s="1245"/>
      <c r="T44" s="1"/>
      <c r="U44" s="1"/>
      <c r="V44" s="1245"/>
      <c r="W44" s="1"/>
      <c r="X44" s="1"/>
      <c r="Y44" s="1245"/>
      <c r="Z44" s="1"/>
      <c r="AA44" s="1748">
        <v>3</v>
      </c>
      <c r="AB44" s="1748">
        <v>3.9149999999999997E-2</v>
      </c>
      <c r="AM44" s="1748">
        <v>10</v>
      </c>
      <c r="AN44" s="1762">
        <v>2</v>
      </c>
      <c r="AO44" s="1748">
        <v>2.6700000000000003E-6</v>
      </c>
      <c r="AP44" s="1748">
        <v>-1.33E-3</v>
      </c>
      <c r="AQ44" s="1748">
        <v>0.2326</v>
      </c>
      <c r="AR44" s="1748">
        <v>2.6698</v>
      </c>
      <c r="AS44" s="1748">
        <v>50</v>
      </c>
      <c r="AT44" s="1748">
        <v>180</v>
      </c>
    </row>
    <row r="45" spans="1:46" ht="5.0999999999999996" customHeight="1" x14ac:dyDescent="0.2">
      <c r="A45" s="1253"/>
      <c r="B45" s="1253"/>
      <c r="C45" s="1253"/>
      <c r="D45" s="1253"/>
      <c r="E45" s="1253"/>
      <c r="F45" s="1253"/>
      <c r="G45" s="1253"/>
      <c r="H45" s="1253"/>
      <c r="I45" s="1253"/>
      <c r="J45" s="1253"/>
      <c r="K45" s="1245"/>
      <c r="L45" s="1"/>
      <c r="M45" s="1245"/>
      <c r="N45" s="1"/>
      <c r="O45" s="1"/>
      <c r="P45" s="1245"/>
      <c r="Q45" s="1"/>
      <c r="R45" s="1"/>
      <c r="S45" s="1245"/>
      <c r="T45" s="1"/>
      <c r="U45" s="1"/>
      <c r="V45" s="1245"/>
      <c r="W45" s="1"/>
      <c r="X45" s="1"/>
      <c r="Y45" s="1245"/>
      <c r="Z45" s="1"/>
      <c r="AA45" s="1748">
        <v>4</v>
      </c>
      <c r="AB45" s="1748">
        <v>3.9600000000000003E-2</v>
      </c>
      <c r="AM45" s="1748">
        <v>12</v>
      </c>
      <c r="AN45" s="1762">
        <v>3</v>
      </c>
      <c r="AO45" s="1748">
        <v>4.42E-6</v>
      </c>
      <c r="AP45" s="1748">
        <v>-1.8629000000000002E-3</v>
      </c>
      <c r="AQ45" s="1748">
        <v>0.2732</v>
      </c>
      <c r="AR45" s="1748">
        <v>3.1099000000000001</v>
      </c>
      <c r="AS45" s="1748">
        <v>40</v>
      </c>
      <c r="AT45" s="1748">
        <v>160</v>
      </c>
    </row>
    <row r="46" spans="1:46" ht="12.6" customHeight="1" x14ac:dyDescent="0.2">
      <c r="A46" s="1253"/>
      <c r="B46" s="1253"/>
      <c r="C46" s="1675" t="s">
        <v>2266</v>
      </c>
      <c r="D46" s="2126" t="s">
        <v>2262</v>
      </c>
      <c r="E46" s="1476"/>
      <c r="F46" s="1253"/>
      <c r="G46" s="1253"/>
      <c r="H46" s="1253"/>
      <c r="I46" s="1253"/>
      <c r="J46" s="1253"/>
      <c r="K46" s="1245"/>
      <c r="L46" s="1"/>
      <c r="M46" s="1245"/>
      <c r="N46" s="1"/>
      <c r="O46" s="1"/>
      <c r="P46" s="1245"/>
      <c r="Q46" s="1"/>
      <c r="R46" s="1"/>
      <c r="S46" s="1245"/>
      <c r="T46" s="1"/>
      <c r="U46" s="1"/>
      <c r="V46" s="1245"/>
      <c r="W46" s="1"/>
      <c r="X46" s="1"/>
      <c r="Y46" s="1245"/>
      <c r="Z46" s="1"/>
      <c r="AB46" s="1433"/>
      <c r="AC46" s="2132" t="s">
        <v>2265</v>
      </c>
      <c r="AM46" s="1748">
        <v>14</v>
      </c>
      <c r="AN46" s="1762">
        <v>4</v>
      </c>
      <c r="AO46" s="1748">
        <v>6.2199999999999997E-6</v>
      </c>
      <c r="AP46" s="1748">
        <v>-2.3013999999999999E-3</v>
      </c>
      <c r="AQ46" s="1748">
        <v>0.29449999999999998</v>
      </c>
      <c r="AR46" s="1748">
        <v>4.03</v>
      </c>
      <c r="AS46" s="1748">
        <v>40</v>
      </c>
      <c r="AT46" s="1748">
        <v>140</v>
      </c>
    </row>
    <row r="47" spans="1:46" ht="12.6" customHeight="1" x14ac:dyDescent="0.2">
      <c r="A47" s="1253"/>
      <c r="B47" s="1253"/>
      <c r="C47" s="1253"/>
      <c r="D47" s="2049"/>
      <c r="E47" s="1476"/>
      <c r="F47" s="1253"/>
      <c r="G47" s="1253"/>
      <c r="H47" s="1253"/>
      <c r="I47" s="1253"/>
      <c r="J47" s="1253"/>
      <c r="K47" s="1245"/>
      <c r="L47" s="1"/>
      <c r="M47" s="1245"/>
      <c r="N47" s="1"/>
      <c r="O47" s="1"/>
      <c r="P47" s="1245"/>
      <c r="Q47" s="1"/>
      <c r="R47" s="1"/>
      <c r="S47" s="1245"/>
      <c r="T47" s="1"/>
      <c r="U47" s="1"/>
      <c r="V47" s="1245"/>
      <c r="W47" s="1"/>
      <c r="X47" s="1"/>
      <c r="Y47" s="1245"/>
      <c r="Z47" s="1"/>
      <c r="AA47" s="1748">
        <v>1</v>
      </c>
      <c r="AB47" s="1748">
        <v>0.2205</v>
      </c>
      <c r="AM47" s="1748">
        <v>16</v>
      </c>
      <c r="AN47" s="1762">
        <v>5</v>
      </c>
      <c r="AO47" s="1748">
        <v>1.064E-5</v>
      </c>
      <c r="AP47" s="1748">
        <v>-3.3482999999999998E-3</v>
      </c>
      <c r="AQ47" s="1748">
        <v>0.36301</v>
      </c>
      <c r="AR47" s="1748">
        <v>3.4813000000000001</v>
      </c>
      <c r="AS47" s="1748">
        <v>30</v>
      </c>
      <c r="AT47" s="1748">
        <v>120</v>
      </c>
    </row>
    <row r="48" spans="1:46" ht="12.6" customHeight="1" x14ac:dyDescent="0.2">
      <c r="A48" s="1253"/>
      <c r="B48" s="1253"/>
      <c r="C48" s="1"/>
      <c r="D48" s="2126" t="s">
        <v>2263</v>
      </c>
      <c r="E48" s="1476"/>
      <c r="F48" s="1253"/>
      <c r="G48" s="1253"/>
      <c r="H48" s="1253"/>
      <c r="I48" s="1253"/>
      <c r="J48" s="1253"/>
      <c r="K48" s="1245"/>
      <c r="L48" s="1"/>
      <c r="M48" s="1245"/>
      <c r="N48" s="1"/>
      <c r="O48" s="1"/>
      <c r="P48" s="1245"/>
      <c r="Q48" s="1"/>
      <c r="R48" s="1"/>
      <c r="S48" s="1245"/>
      <c r="T48" s="1"/>
      <c r="U48" s="1"/>
      <c r="V48" s="1245"/>
      <c r="W48" s="1"/>
      <c r="X48" s="1"/>
      <c r="Y48" s="1245"/>
      <c r="Z48" s="1"/>
      <c r="AA48" s="1748">
        <v>2</v>
      </c>
      <c r="AB48" s="1748">
        <v>0.24249999999999999</v>
      </c>
      <c r="AM48" s="1748">
        <v>18</v>
      </c>
      <c r="AN48" s="1762">
        <v>6</v>
      </c>
      <c r="AO48" s="1748">
        <v>1.7419999999999999E-5</v>
      </c>
      <c r="AP48" s="1748">
        <v>-4.5703000000000002E-3</v>
      </c>
      <c r="AQ48" s="1748">
        <v>0.41896000000000005</v>
      </c>
      <c r="AR48" s="1748">
        <v>3.5952000000000002</v>
      </c>
      <c r="AS48" s="1748">
        <v>30</v>
      </c>
      <c r="AT48" s="1748">
        <v>100</v>
      </c>
    </row>
    <row r="49" spans="1:46" ht="12.6" customHeight="1" x14ac:dyDescent="0.2">
      <c r="A49" s="1253"/>
      <c r="B49" s="1253"/>
      <c r="C49" s="1"/>
      <c r="D49" s="2050" t="e">
        <f>VLOOKUP(Race_Eng,AA47:AB49,2)*Pds_Eng^0.6</f>
        <v>#N/A</v>
      </c>
      <c r="E49" s="2126" t="s">
        <v>2264</v>
      </c>
      <c r="F49" s="1253"/>
      <c r="G49" s="1253"/>
      <c r="H49" s="1253"/>
      <c r="I49" s="1253"/>
      <c r="J49" s="1253"/>
      <c r="K49" s="1245"/>
      <c r="L49" s="1"/>
      <c r="M49" s="1245"/>
      <c r="N49" s="1"/>
      <c r="O49" s="1"/>
      <c r="P49" s="1245"/>
      <c r="Q49" s="1"/>
      <c r="R49" s="1"/>
      <c r="S49" s="1245"/>
      <c r="T49" s="1"/>
      <c r="U49" s="1"/>
      <c r="V49" s="1245"/>
      <c r="W49" s="1"/>
      <c r="X49" s="1"/>
      <c r="Y49" s="1245"/>
      <c r="Z49" s="1"/>
      <c r="AA49" s="1748">
        <v>3</v>
      </c>
      <c r="AB49" s="1748">
        <v>0.2261</v>
      </c>
      <c r="AM49" s="2047">
        <v>20</v>
      </c>
      <c r="AN49" s="1762">
        <v>7</v>
      </c>
      <c r="AO49" s="1748">
        <v>1.7929999999999999E-5</v>
      </c>
      <c r="AP49" s="1748">
        <v>-4.6212000000000007E-3</v>
      </c>
      <c r="AQ49" s="1748">
        <v>0.41012999999999999</v>
      </c>
      <c r="AR49" s="1748">
        <v>4.5952000000000002</v>
      </c>
      <c r="AS49" s="1748">
        <v>30</v>
      </c>
      <c r="AT49" s="1748">
        <v>100</v>
      </c>
    </row>
    <row r="50" spans="1:46" ht="5.0999999999999996" customHeight="1" x14ac:dyDescent="0.2">
      <c r="A50" s="1253"/>
      <c r="B50" s="1253"/>
      <c r="C50" s="1253"/>
      <c r="D50" s="1253"/>
      <c r="E50" s="1253"/>
      <c r="F50" s="1253"/>
      <c r="G50" s="1253"/>
      <c r="H50" s="1253"/>
      <c r="I50" s="1253"/>
      <c r="J50" s="1253"/>
      <c r="K50" s="1245"/>
      <c r="L50" s="1"/>
      <c r="M50" s="1245"/>
      <c r="N50" s="1"/>
      <c r="O50" s="1"/>
      <c r="P50" s="1245"/>
      <c r="Q50" s="1"/>
      <c r="R50" s="1"/>
      <c r="S50" s="1245"/>
      <c r="T50" s="1"/>
      <c r="U50" s="1"/>
      <c r="V50" s="1245"/>
      <c r="W50" s="1"/>
      <c r="X50" s="1"/>
      <c r="Y50" s="1245"/>
      <c r="Z50" s="1"/>
    </row>
    <row r="51" spans="1:46" ht="18" x14ac:dyDescent="0.2">
      <c r="A51" s="1245"/>
      <c r="B51" s="2025" t="s">
        <v>2272</v>
      </c>
      <c r="C51" s="1"/>
      <c r="D51" s="1245"/>
      <c r="E51" s="1"/>
      <c r="F51" s="1"/>
      <c r="G51" s="1245"/>
      <c r="H51" s="1"/>
      <c r="I51" s="1"/>
      <c r="J51" s="1245"/>
      <c r="K51" s="1"/>
      <c r="L51" s="1"/>
      <c r="M51" s="1245"/>
      <c r="N51" s="1"/>
      <c r="O51" s="1"/>
      <c r="P51" s="1245"/>
      <c r="Q51" s="1"/>
      <c r="R51" s="1"/>
      <c r="S51" s="1245"/>
      <c r="T51" s="1"/>
      <c r="U51" s="1"/>
      <c r="V51" s="1245"/>
      <c r="W51" s="1"/>
      <c r="X51" s="1"/>
      <c r="Y51" s="1245"/>
      <c r="Z51" s="1"/>
    </row>
    <row r="52" spans="1:46" s="2046" customFormat="1" ht="24.95" customHeight="1" x14ac:dyDescent="0.2">
      <c r="A52" s="2045"/>
      <c r="B52" s="3122" t="s">
        <v>2347</v>
      </c>
      <c r="C52" s="3122"/>
      <c r="D52" s="3122"/>
      <c r="E52" s="3122"/>
      <c r="F52" s="3122"/>
      <c r="G52" s="3122"/>
      <c r="H52" s="3122"/>
      <c r="I52" s="3122"/>
      <c r="J52" s="2045"/>
      <c r="K52" s="2024"/>
      <c r="L52" s="2024"/>
      <c r="M52" s="2045"/>
      <c r="N52" s="2024"/>
      <c r="O52" s="2024"/>
      <c r="P52" s="2045"/>
      <c r="Q52" s="2024"/>
      <c r="R52" s="2024"/>
      <c r="S52" s="2045"/>
      <c r="T52" s="2024"/>
      <c r="U52" s="2024"/>
      <c r="V52" s="2045"/>
      <c r="W52" s="2024"/>
      <c r="X52" s="2024"/>
      <c r="Y52" s="2045"/>
      <c r="Z52" s="2024"/>
      <c r="AD52"/>
      <c r="AE52"/>
      <c r="AF52"/>
      <c r="AG52"/>
    </row>
    <row r="53" spans="1:46" x14ac:dyDescent="0.2">
      <c r="A53" s="1245"/>
      <c r="B53" s="1253"/>
      <c r="C53" s="1476" t="s">
        <v>2067</v>
      </c>
      <c r="D53" s="2049">
        <v>120</v>
      </c>
      <c r="E53" s="1253" t="s">
        <v>2068</v>
      </c>
      <c r="F53" s="1427" t="str">
        <f>IF(ISBLANK(D53),"",IF(D53&lt;30, "Valeur trop faible",IF(D53&gt;250,"Valeur trop élevée","")))</f>
        <v/>
      </c>
      <c r="G53" s="1245"/>
      <c r="H53" s="1"/>
      <c r="I53" s="1"/>
      <c r="J53" s="1245"/>
      <c r="K53" s="1"/>
      <c r="L53" s="1"/>
      <c r="M53" s="1245"/>
      <c r="N53" s="1"/>
      <c r="O53" s="1"/>
      <c r="P53" s="1245"/>
      <c r="Q53" s="1"/>
      <c r="R53" s="1"/>
      <c r="S53" s="1245"/>
      <c r="T53" s="1"/>
      <c r="U53" s="1"/>
      <c r="V53" s="1245"/>
      <c r="W53" s="1"/>
      <c r="X53" s="1"/>
      <c r="Y53" s="1245"/>
      <c r="Z53" s="1"/>
      <c r="AA53" s="2043" t="s">
        <v>2061</v>
      </c>
      <c r="AB53" s="2043" t="s">
        <v>2062</v>
      </c>
      <c r="AC53" s="2046"/>
    </row>
    <row r="54" spans="1:46" x14ac:dyDescent="0.2">
      <c r="A54" s="1245"/>
      <c r="B54" s="1"/>
      <c r="C54" s="1476" t="s">
        <v>2069</v>
      </c>
      <c r="D54" s="1551">
        <f>IF(ISBLANK(D53),"",AA54+EXP(AB54*D53))</f>
        <v>13.310116922736547</v>
      </c>
      <c r="E54" s="1253" t="s">
        <v>2068</v>
      </c>
      <c r="F54" s="1"/>
      <c r="G54" s="1245"/>
      <c r="H54" s="1"/>
      <c r="I54" s="1"/>
      <c r="J54" s="1245"/>
      <c r="K54" s="1"/>
      <c r="L54" s="1"/>
      <c r="M54" s="1245"/>
      <c r="N54" s="1"/>
      <c r="O54" s="1"/>
      <c r="P54" s="1245"/>
      <c r="Q54" s="1"/>
      <c r="R54" s="1"/>
      <c r="S54" s="1245"/>
      <c r="T54" s="1"/>
      <c r="U54" s="1"/>
      <c r="V54" s="1245"/>
      <c r="W54" s="1"/>
      <c r="X54" s="1"/>
      <c r="Y54" s="1245"/>
      <c r="Z54" s="1"/>
      <c r="AA54" s="2044">
        <v>9.99</v>
      </c>
      <c r="AB54" s="2044">
        <v>0.01</v>
      </c>
      <c r="AC54" s="2046"/>
    </row>
    <row r="55" spans="1:46" x14ac:dyDescent="0.2">
      <c r="A55" s="1245"/>
      <c r="B55" s="1"/>
      <c r="C55" s="2042" t="s">
        <v>2073</v>
      </c>
      <c r="D55" s="1245"/>
      <c r="E55" s="1"/>
      <c r="F55" s="1"/>
      <c r="G55" s="1245"/>
      <c r="H55" s="1"/>
      <c r="I55" s="1"/>
      <c r="J55" s="1245"/>
      <c r="K55" s="1"/>
      <c r="L55" s="1"/>
      <c r="M55" s="1245"/>
      <c r="N55" s="1"/>
      <c r="O55" s="1"/>
      <c r="P55" s="1245"/>
      <c r="Q55" s="1"/>
      <c r="R55" s="1"/>
      <c r="S55" s="1245"/>
      <c r="T55" s="1"/>
      <c r="U55" s="1"/>
      <c r="V55" s="1245"/>
      <c r="W55" s="1"/>
      <c r="X55" s="1"/>
      <c r="Y55" s="1245"/>
      <c r="Z55" s="1"/>
      <c r="AC55" s="2046"/>
    </row>
    <row r="56" spans="1:46" x14ac:dyDescent="0.2">
      <c r="A56" s="1245"/>
      <c r="B56" s="1"/>
      <c r="C56" s="1476" t="s">
        <v>2070</v>
      </c>
      <c r="D56" s="1245"/>
      <c r="E56" s="1"/>
      <c r="F56" s="1"/>
      <c r="G56" s="1245"/>
      <c r="H56" s="1"/>
      <c r="I56" s="1"/>
      <c r="J56" s="1245"/>
      <c r="K56" s="1"/>
      <c r="L56" s="1"/>
      <c r="M56" s="1245"/>
      <c r="N56" s="1"/>
      <c r="O56" s="1"/>
      <c r="P56" s="1245"/>
      <c r="Q56" s="1"/>
      <c r="R56" s="1"/>
      <c r="S56" s="1245"/>
      <c r="T56" s="1"/>
      <c r="U56" s="1"/>
      <c r="V56" s="1245"/>
      <c r="W56" s="1"/>
      <c r="X56" s="1"/>
      <c r="Y56" s="1245"/>
      <c r="Z56" s="1"/>
    </row>
    <row r="57" spans="1:46" x14ac:dyDescent="0.2">
      <c r="A57" s="1245"/>
      <c r="B57" s="1"/>
      <c r="C57" s="1560" t="s">
        <v>1164</v>
      </c>
      <c r="D57" s="1551">
        <f>Chargements!D102</f>
        <v>13.995955806695921</v>
      </c>
      <c r="E57" s="1253" t="s">
        <v>2068</v>
      </c>
      <c r="F57" s="1"/>
      <c r="G57" s="1245"/>
      <c r="H57" s="1"/>
      <c r="I57" s="1"/>
      <c r="J57" s="1245"/>
      <c r="K57" s="1"/>
      <c r="L57" s="1"/>
      <c r="M57" s="1245"/>
      <c r="N57" s="1"/>
      <c r="O57" s="1"/>
      <c r="P57" s="1245"/>
      <c r="Q57" s="1"/>
      <c r="R57" s="1"/>
      <c r="S57" s="1245"/>
      <c r="T57" s="1"/>
      <c r="U57" s="1"/>
      <c r="V57" s="1245"/>
      <c r="W57" s="1"/>
      <c r="X57" s="1"/>
      <c r="Y57" s="1245"/>
      <c r="Z57" s="1"/>
    </row>
    <row r="58" spans="1:46" x14ac:dyDescent="0.2">
      <c r="A58" s="1245"/>
      <c r="B58" s="1"/>
      <c r="C58" s="1560" t="s">
        <v>2071</v>
      </c>
      <c r="D58" s="1551">
        <f>Chargements!D103</f>
        <v>12.149284256892379</v>
      </c>
      <c r="E58" s="1253" t="s">
        <v>2068</v>
      </c>
      <c r="F58" s="1"/>
      <c r="G58" s="1245"/>
      <c r="H58" s="1"/>
      <c r="I58" s="1"/>
      <c r="J58" s="1245"/>
      <c r="K58" s="1"/>
      <c r="L58" s="1"/>
      <c r="M58" s="1245"/>
      <c r="N58" s="1"/>
      <c r="O58" s="1"/>
      <c r="P58" s="1245"/>
      <c r="Q58" s="1"/>
      <c r="R58" s="1"/>
      <c r="S58" s="1245"/>
      <c r="T58" s="1"/>
      <c r="U58" s="1"/>
      <c r="V58" s="1245"/>
      <c r="W58" s="1"/>
      <c r="X58" s="1"/>
      <c r="Y58" s="1245"/>
      <c r="Z58" s="1"/>
    </row>
    <row r="59" spans="1:46" x14ac:dyDescent="0.2">
      <c r="A59" s="1245"/>
      <c r="B59" s="1"/>
      <c r="C59" s="1560" t="s">
        <v>2072</v>
      </c>
      <c r="D59" s="1551">
        <f>Chargements!D104</f>
        <v>12.473871620961678</v>
      </c>
      <c r="E59" s="1253" t="s">
        <v>2068</v>
      </c>
      <c r="F59" s="1"/>
      <c r="G59" s="1245"/>
      <c r="H59" s="1"/>
      <c r="I59" s="1"/>
      <c r="J59" s="1245"/>
      <c r="K59" s="1"/>
      <c r="L59" s="1"/>
      <c r="M59" s="1245"/>
      <c r="N59" s="1"/>
      <c r="O59" s="1"/>
      <c r="P59" s="1245"/>
      <c r="Q59" s="1"/>
      <c r="R59" s="1"/>
      <c r="S59" s="1245"/>
      <c r="T59" s="1"/>
      <c r="U59" s="1"/>
      <c r="V59" s="1245"/>
      <c r="W59" s="1"/>
      <c r="X59" s="1"/>
      <c r="Y59" s="1245"/>
      <c r="Z59" s="1"/>
    </row>
    <row r="60" spans="1:46" x14ac:dyDescent="0.2">
      <c r="A60" s="1245"/>
      <c r="B60" s="1"/>
      <c r="C60" s="1"/>
      <c r="D60" s="1245"/>
      <c r="E60" s="1"/>
      <c r="F60" s="1"/>
      <c r="G60" s="1245"/>
      <c r="H60" s="1"/>
      <c r="I60" s="1"/>
      <c r="J60" s="1245"/>
      <c r="K60" s="1"/>
      <c r="L60" s="1"/>
      <c r="M60" s="1245"/>
      <c r="N60" s="1"/>
      <c r="O60" s="1"/>
      <c r="P60" s="1245"/>
      <c r="Q60" s="1"/>
      <c r="R60" s="1"/>
      <c r="S60" s="1245"/>
      <c r="T60" s="1"/>
      <c r="U60" s="1"/>
      <c r="V60" s="1245"/>
      <c r="W60" s="1"/>
      <c r="X60" s="1"/>
      <c r="Y60" s="1245"/>
      <c r="Z60" s="1"/>
    </row>
    <row r="61" spans="1:46" x14ac:dyDescent="0.2">
      <c r="A61"/>
      <c r="B61"/>
      <c r="C61"/>
      <c r="D61"/>
      <c r="E61"/>
      <c r="F61"/>
      <c r="G61"/>
      <c r="H61"/>
      <c r="I61"/>
      <c r="J61"/>
      <c r="K61"/>
      <c r="L61"/>
      <c r="M61"/>
      <c r="N61"/>
      <c r="O61"/>
      <c r="P61"/>
      <c r="Q61"/>
      <c r="R61"/>
      <c r="S61"/>
      <c r="T61"/>
      <c r="U61"/>
      <c r="V61"/>
      <c r="W61"/>
      <c r="X61"/>
      <c r="Y61"/>
    </row>
    <row r="62" spans="1:46" x14ac:dyDescent="0.2">
      <c r="A62"/>
      <c r="B62"/>
      <c r="C62"/>
      <c r="D62"/>
      <c r="E62"/>
      <c r="F62"/>
      <c r="G62"/>
      <c r="H62"/>
      <c r="I62"/>
      <c r="J62"/>
      <c r="K62"/>
      <c r="L62"/>
      <c r="M62"/>
      <c r="N62"/>
      <c r="O62"/>
      <c r="P62"/>
      <c r="Q62"/>
      <c r="R62"/>
      <c r="S62"/>
      <c r="T62"/>
      <c r="U62"/>
      <c r="V62"/>
      <c r="W62"/>
      <c r="X62"/>
      <c r="Y62"/>
    </row>
    <row r="63" spans="1:46" x14ac:dyDescent="0.2">
      <c r="A63"/>
      <c r="B63"/>
      <c r="C63"/>
      <c r="D63"/>
      <c r="E63"/>
      <c r="F63"/>
      <c r="G63"/>
      <c r="H63"/>
      <c r="I63"/>
      <c r="J63"/>
      <c r="K63"/>
      <c r="L63"/>
      <c r="M63"/>
      <c r="N63"/>
      <c r="O63"/>
      <c r="P63"/>
      <c r="Q63"/>
      <c r="R63"/>
      <c r="S63"/>
      <c r="T63"/>
      <c r="U63"/>
      <c r="V63"/>
      <c r="W63"/>
      <c r="X63"/>
      <c r="Y63"/>
    </row>
    <row r="64" spans="1:46" x14ac:dyDescent="0.2">
      <c r="A64"/>
      <c r="B64"/>
      <c r="C64"/>
      <c r="D64"/>
      <c r="E64"/>
      <c r="F64"/>
      <c r="G64"/>
      <c r="H64"/>
      <c r="I64"/>
      <c r="J64"/>
      <c r="K64"/>
      <c r="L64"/>
      <c r="M64"/>
      <c r="N64"/>
      <c r="O64"/>
      <c r="P64"/>
      <c r="Q64"/>
      <c r="R64"/>
      <c r="S64"/>
      <c r="T64"/>
      <c r="U64"/>
      <c r="V64"/>
      <c r="W64"/>
      <c r="X64"/>
      <c r="Y64"/>
    </row>
    <row r="65" spans="1:25" x14ac:dyDescent="0.2">
      <c r="A65"/>
      <c r="B65"/>
      <c r="C65"/>
      <c r="D65"/>
      <c r="E65"/>
      <c r="F65"/>
      <c r="G65"/>
      <c r="H65"/>
      <c r="I65"/>
      <c r="J65"/>
      <c r="K65"/>
      <c r="L65"/>
      <c r="M65"/>
      <c r="N65"/>
      <c r="O65"/>
      <c r="P65"/>
      <c r="Q65"/>
      <c r="R65"/>
      <c r="S65"/>
      <c r="T65"/>
      <c r="U65"/>
      <c r="V65"/>
      <c r="W65"/>
      <c r="X65"/>
      <c r="Y65"/>
    </row>
    <row r="66" spans="1:25" x14ac:dyDescent="0.2">
      <c r="A66"/>
      <c r="B66"/>
      <c r="C66"/>
      <c r="D66"/>
      <c r="E66"/>
      <c r="F66"/>
      <c r="G66"/>
      <c r="H66"/>
      <c r="I66"/>
      <c r="J66"/>
      <c r="K66"/>
      <c r="L66"/>
      <c r="M66"/>
      <c r="N66"/>
      <c r="O66"/>
      <c r="P66"/>
      <c r="Q66"/>
      <c r="R66"/>
      <c r="S66"/>
      <c r="T66"/>
      <c r="U66"/>
      <c r="V66"/>
      <c r="W66"/>
      <c r="X66"/>
      <c r="Y66"/>
    </row>
    <row r="67" spans="1:25" x14ac:dyDescent="0.2">
      <c r="A67"/>
      <c r="B67"/>
      <c r="C67"/>
      <c r="D67"/>
      <c r="E67"/>
      <c r="F67"/>
      <c r="G67"/>
      <c r="H67"/>
      <c r="I67"/>
      <c r="J67"/>
      <c r="K67"/>
      <c r="L67"/>
      <c r="M67"/>
      <c r="N67"/>
      <c r="O67"/>
      <c r="P67"/>
      <c r="Q67"/>
      <c r="R67"/>
      <c r="S67"/>
      <c r="T67"/>
      <c r="U67"/>
      <c r="V67"/>
      <c r="W67"/>
      <c r="X67"/>
      <c r="Y67"/>
    </row>
    <row r="68" spans="1:25" x14ac:dyDescent="0.2">
      <c r="A68"/>
      <c r="B68"/>
      <c r="C68"/>
      <c r="D68"/>
      <c r="E68"/>
      <c r="F68"/>
      <c r="G68"/>
      <c r="H68"/>
      <c r="I68"/>
      <c r="J68"/>
      <c r="K68"/>
      <c r="L68"/>
      <c r="M68"/>
      <c r="N68"/>
      <c r="O68"/>
      <c r="P68"/>
      <c r="Q68"/>
      <c r="R68"/>
      <c r="S68"/>
      <c r="T68"/>
      <c r="U68"/>
      <c r="V68"/>
      <c r="W68"/>
      <c r="X68"/>
      <c r="Y68"/>
    </row>
    <row r="69" spans="1:25" x14ac:dyDescent="0.2">
      <c r="A69"/>
      <c r="B69"/>
      <c r="C69"/>
      <c r="D69"/>
      <c r="E69"/>
      <c r="F69"/>
      <c r="G69"/>
      <c r="H69"/>
      <c r="I69"/>
      <c r="J69"/>
      <c r="K69"/>
      <c r="L69"/>
      <c r="M69"/>
      <c r="N69"/>
      <c r="O69"/>
      <c r="P69"/>
      <c r="Q69"/>
      <c r="R69"/>
      <c r="S69"/>
      <c r="T69"/>
      <c r="U69"/>
      <c r="V69"/>
      <c r="W69"/>
      <c r="X69"/>
      <c r="Y69"/>
    </row>
    <row r="70" spans="1:25" x14ac:dyDescent="0.2">
      <c r="A70"/>
      <c r="B70"/>
      <c r="C70"/>
      <c r="D70"/>
      <c r="E70"/>
      <c r="F70"/>
      <c r="G70"/>
      <c r="H70"/>
      <c r="I70"/>
      <c r="J70"/>
      <c r="K70"/>
      <c r="L70"/>
      <c r="M70"/>
      <c r="N70"/>
      <c r="O70"/>
      <c r="P70"/>
      <c r="Q70"/>
      <c r="R70"/>
      <c r="S70"/>
      <c r="T70"/>
      <c r="U70"/>
      <c r="V70"/>
      <c r="W70"/>
      <c r="X70"/>
      <c r="Y70"/>
    </row>
  </sheetData>
  <sheetProtection algorithmName="SHA-512" hashValue="RAAREOG1MLV0SO7AFEJefnx7m/izFHaJMsZyjItBl78Ngk6G4yUeVQlXVAie/mnlERkSXsGX7MDGX8fLybkFrw==" saltValue="4d56OJmAU1Lt/L6/+vs2BQ==" spinCount="100000" sheet="1" objects="1" scenarios="1"/>
  <mergeCells count="10">
    <mergeCell ref="B52:I52"/>
    <mergeCell ref="B1:G1"/>
    <mergeCell ref="B25:G25"/>
    <mergeCell ref="B24:G24"/>
    <mergeCell ref="B20:D20"/>
    <mergeCell ref="B4:C4"/>
    <mergeCell ref="B14:C14"/>
    <mergeCell ref="B19:C19"/>
    <mergeCell ref="B9:C9"/>
    <mergeCell ref="C34:G34"/>
  </mergeCells>
  <phoneticPr fontId="14" type="noConversion"/>
  <conditionalFormatting sqref="A1:Z26">
    <cfRule type="expression" dxfId="97" priority="3">
      <formula>IF(ISERROR(A1),TRUE,FALSE)</formula>
    </cfRule>
  </conditionalFormatting>
  <dataValidations disablePrompts="1" count="2">
    <dataValidation type="list" allowBlank="1" showInputMessage="1" showErrorMessage="1" sqref="D30">
      <formula1>$AA$30:$AA$32</formula1>
    </dataValidation>
    <dataValidation type="list" allowBlank="1" showInputMessage="1" showErrorMessage="1" sqref="D31">
      <formula1>$AM$29:$AM$35</formula1>
    </dataValidation>
  </dataValidations>
  <pageMargins left="0.78740157499999996" right="0.78740157499999996" top="0.984251969" bottom="0.984251969" header="0.4921259845" footer="0.4921259845"/>
  <pageSetup paperSize="9" scale="5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4209" r:id="rId4" name="Button 1">
              <controlPr defaultSize="0" print="0" autoFill="0" autoPict="0" macro="[0]!Retour_Presentation">
                <anchor moveWithCells="1" sizeWithCells="1">
                  <from>
                    <xdr:col>7</xdr:col>
                    <xdr:colOff>209550</xdr:colOff>
                    <xdr:row>0</xdr:row>
                    <xdr:rowOff>76200</xdr:rowOff>
                  </from>
                  <to>
                    <xdr:col>12</xdr:col>
                    <xdr:colOff>142875</xdr:colOff>
                    <xdr:row>3</xdr:row>
                    <xdr:rowOff>152400</xdr:rowOff>
                  </to>
                </anchor>
              </controlPr>
            </control>
          </mc:Choice>
        </mc:AlternateContent>
        <mc:AlternateContent xmlns:mc="http://schemas.openxmlformats.org/markup-compatibility/2006">
          <mc:Choice Requires="x14">
            <control shapeId="94213" r:id="rId5" name="Button 5">
              <controlPr defaultSize="0" print="0" autoFill="0" autoPict="0" macro="[0]!Efface_Pression_Prairie">
                <anchor moveWithCells="1" sizeWithCells="1">
                  <from>
                    <xdr:col>6</xdr:col>
                    <xdr:colOff>238125</xdr:colOff>
                    <xdr:row>30</xdr:row>
                    <xdr:rowOff>47625</xdr:rowOff>
                  </from>
                  <to>
                    <xdr:col>10</xdr:col>
                    <xdr:colOff>276225</xdr:colOff>
                    <xdr:row>35</xdr:row>
                    <xdr:rowOff>9525</xdr:rowOff>
                  </to>
                </anchor>
              </controlPr>
            </control>
          </mc:Choice>
        </mc:AlternateContent>
        <mc:AlternateContent xmlns:mc="http://schemas.openxmlformats.org/markup-compatibility/2006">
          <mc:Choice Requires="x14">
            <control shapeId="94236" r:id="rId6" name="Option Button 28">
              <controlPr defaultSize="0" autoFill="0" autoLine="0" autoPict="0">
                <anchor moveWithCells="1">
                  <from>
                    <xdr:col>2</xdr:col>
                    <xdr:colOff>2581275</xdr:colOff>
                    <xdr:row>40</xdr:row>
                    <xdr:rowOff>0</xdr:rowOff>
                  </from>
                  <to>
                    <xdr:col>2</xdr:col>
                    <xdr:colOff>3686175</xdr:colOff>
                    <xdr:row>41</xdr:row>
                    <xdr:rowOff>0</xdr:rowOff>
                  </to>
                </anchor>
              </controlPr>
            </control>
          </mc:Choice>
        </mc:AlternateContent>
        <mc:AlternateContent xmlns:mc="http://schemas.openxmlformats.org/markup-compatibility/2006">
          <mc:Choice Requires="x14">
            <control shapeId="94237" r:id="rId7" name="Option Button 29">
              <controlPr defaultSize="0" autoFill="0" autoLine="0" autoPict="0">
                <anchor moveWithCells="1">
                  <from>
                    <xdr:col>2</xdr:col>
                    <xdr:colOff>2581275</xdr:colOff>
                    <xdr:row>41</xdr:row>
                    <xdr:rowOff>0</xdr:rowOff>
                  </from>
                  <to>
                    <xdr:col>2</xdr:col>
                    <xdr:colOff>3686175</xdr:colOff>
                    <xdr:row>42</xdr:row>
                    <xdr:rowOff>0</xdr:rowOff>
                  </to>
                </anchor>
              </controlPr>
            </control>
          </mc:Choice>
        </mc:AlternateContent>
        <mc:AlternateContent xmlns:mc="http://schemas.openxmlformats.org/markup-compatibility/2006">
          <mc:Choice Requires="x14">
            <control shapeId="94238" r:id="rId8" name="Option Button 30">
              <controlPr defaultSize="0" autoFill="0" autoLine="0" autoPict="0">
                <anchor moveWithCells="1">
                  <from>
                    <xdr:col>2</xdr:col>
                    <xdr:colOff>2581275</xdr:colOff>
                    <xdr:row>42</xdr:row>
                    <xdr:rowOff>0</xdr:rowOff>
                  </from>
                  <to>
                    <xdr:col>2</xdr:col>
                    <xdr:colOff>3686175</xdr:colOff>
                    <xdr:row>43</xdr:row>
                    <xdr:rowOff>0</xdr:rowOff>
                  </to>
                </anchor>
              </controlPr>
            </control>
          </mc:Choice>
        </mc:AlternateContent>
        <mc:AlternateContent xmlns:mc="http://schemas.openxmlformats.org/markup-compatibility/2006">
          <mc:Choice Requires="x14">
            <control shapeId="94239" r:id="rId9" name="Option Button 31">
              <controlPr defaultSize="0" autoFill="0" autoLine="0" autoPict="0">
                <anchor moveWithCells="1">
                  <from>
                    <xdr:col>2</xdr:col>
                    <xdr:colOff>2581275</xdr:colOff>
                    <xdr:row>43</xdr:row>
                    <xdr:rowOff>0</xdr:rowOff>
                  </from>
                  <to>
                    <xdr:col>2</xdr:col>
                    <xdr:colOff>3686175</xdr:colOff>
                    <xdr:row>44</xdr:row>
                    <xdr:rowOff>0</xdr:rowOff>
                  </to>
                </anchor>
              </controlPr>
            </control>
          </mc:Choice>
        </mc:AlternateContent>
        <mc:AlternateContent xmlns:mc="http://schemas.openxmlformats.org/markup-compatibility/2006">
          <mc:Choice Requires="x14">
            <control shapeId="94240" r:id="rId10" name="Group Box 32">
              <controlPr defaultSize="0" autoFill="0" autoPict="0" altText="">
                <anchor moveWithCells="1">
                  <from>
                    <xdr:col>2</xdr:col>
                    <xdr:colOff>2457450</xdr:colOff>
                    <xdr:row>39</xdr:row>
                    <xdr:rowOff>0</xdr:rowOff>
                  </from>
                  <to>
                    <xdr:col>3</xdr:col>
                    <xdr:colOff>0</xdr:colOff>
                    <xdr:row>45</xdr:row>
                    <xdr:rowOff>19050</xdr:rowOff>
                  </to>
                </anchor>
              </controlPr>
            </control>
          </mc:Choice>
        </mc:AlternateContent>
        <mc:AlternateContent xmlns:mc="http://schemas.openxmlformats.org/markup-compatibility/2006">
          <mc:Choice Requires="x14">
            <control shapeId="94244" r:id="rId11" name="Option Button 36">
              <controlPr defaultSize="0" autoFill="0" autoLine="0" autoPict="0">
                <anchor moveWithCells="1">
                  <from>
                    <xdr:col>2</xdr:col>
                    <xdr:colOff>2581275</xdr:colOff>
                    <xdr:row>46</xdr:row>
                    <xdr:rowOff>0</xdr:rowOff>
                  </from>
                  <to>
                    <xdr:col>2</xdr:col>
                    <xdr:colOff>4133850</xdr:colOff>
                    <xdr:row>47</xdr:row>
                    <xdr:rowOff>0</xdr:rowOff>
                  </to>
                </anchor>
              </controlPr>
            </control>
          </mc:Choice>
        </mc:AlternateContent>
        <mc:AlternateContent xmlns:mc="http://schemas.openxmlformats.org/markup-compatibility/2006">
          <mc:Choice Requires="x14">
            <control shapeId="94245" r:id="rId12" name="Option Button 37">
              <controlPr defaultSize="0" autoFill="0" autoLine="0" autoPict="0">
                <anchor moveWithCells="1">
                  <from>
                    <xdr:col>2</xdr:col>
                    <xdr:colOff>2581275</xdr:colOff>
                    <xdr:row>47</xdr:row>
                    <xdr:rowOff>0</xdr:rowOff>
                  </from>
                  <to>
                    <xdr:col>2</xdr:col>
                    <xdr:colOff>4133850</xdr:colOff>
                    <xdr:row>48</xdr:row>
                    <xdr:rowOff>0</xdr:rowOff>
                  </to>
                </anchor>
              </controlPr>
            </control>
          </mc:Choice>
        </mc:AlternateContent>
        <mc:AlternateContent xmlns:mc="http://schemas.openxmlformats.org/markup-compatibility/2006">
          <mc:Choice Requires="x14">
            <control shapeId="94246" r:id="rId13" name="Option Button 38">
              <controlPr defaultSize="0" autoFill="0" autoLine="0" autoPict="0">
                <anchor moveWithCells="1">
                  <from>
                    <xdr:col>2</xdr:col>
                    <xdr:colOff>2581275</xdr:colOff>
                    <xdr:row>48</xdr:row>
                    <xdr:rowOff>0</xdr:rowOff>
                  </from>
                  <to>
                    <xdr:col>2</xdr:col>
                    <xdr:colOff>3686175</xdr:colOff>
                    <xdr:row>49</xdr:row>
                    <xdr:rowOff>0</xdr:rowOff>
                  </to>
                </anchor>
              </controlPr>
            </control>
          </mc:Choice>
        </mc:AlternateContent>
        <mc:AlternateContent xmlns:mc="http://schemas.openxmlformats.org/markup-compatibility/2006">
          <mc:Choice Requires="x14">
            <control shapeId="94248" r:id="rId14" name="Group Box 40">
              <controlPr defaultSize="0" autoFill="0" autoPict="0" altText="">
                <anchor moveWithCells="1">
                  <from>
                    <xdr:col>2</xdr:col>
                    <xdr:colOff>2457450</xdr:colOff>
                    <xdr:row>45</xdr:row>
                    <xdr:rowOff>0</xdr:rowOff>
                  </from>
                  <to>
                    <xdr:col>3</xdr:col>
                    <xdr:colOff>0</xdr:colOff>
                    <xdr:row>50</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7">
    <tabColor theme="4" tint="0.39997558519241921"/>
    <pageSetUpPr fitToPage="1"/>
  </sheetPr>
  <dimension ref="A1:BZ139"/>
  <sheetViews>
    <sheetView topLeftCell="A30" workbookViewId="0">
      <selection activeCell="M55" sqref="M55:N62"/>
    </sheetView>
  </sheetViews>
  <sheetFormatPr baseColWidth="10" defaultRowHeight="12.75" x14ac:dyDescent="0.2"/>
  <cols>
    <col min="1" max="1" width="6.28515625" customWidth="1"/>
    <col min="2" max="2" width="5.28515625" customWidth="1"/>
    <col min="3" max="3" width="12.5703125" customWidth="1"/>
    <col min="4" max="4" width="10.85546875" customWidth="1"/>
    <col min="5" max="5" width="1.28515625" customWidth="1"/>
    <col min="6" max="6" width="18.85546875" customWidth="1"/>
    <col min="7" max="7" width="2.28515625" customWidth="1"/>
    <col min="10" max="10" width="13.7109375" customWidth="1"/>
    <col min="11" max="11" width="3.5703125" customWidth="1"/>
    <col min="15" max="15" width="6.7109375" customWidth="1"/>
    <col min="16" max="16" width="16.140625" customWidth="1"/>
    <col min="26" max="26" width="10.85546875" customWidth="1"/>
    <col min="27" max="27" width="14.7109375" hidden="1" customWidth="1"/>
    <col min="28" max="28" width="12" hidden="1" customWidth="1"/>
    <col min="29" max="29" width="18.85546875" hidden="1" customWidth="1"/>
    <col min="30" max="30" width="6.140625" hidden="1" customWidth="1"/>
    <col min="31" max="31" width="11.42578125" hidden="1" customWidth="1"/>
    <col min="32" max="32" width="27.7109375" hidden="1" customWidth="1"/>
    <col min="33" max="33" width="40.7109375" hidden="1" customWidth="1"/>
    <col min="34" max="34" width="14.85546875" hidden="1" customWidth="1"/>
    <col min="35" max="35" width="30.28515625" hidden="1" customWidth="1"/>
    <col min="36" max="78" width="11.42578125" hidden="1" customWidth="1"/>
  </cols>
  <sheetData>
    <row r="1" spans="1:37" ht="24.95" customHeight="1" thickBot="1" x14ac:dyDescent="0.25">
      <c r="A1" s="3161" t="s">
        <v>857</v>
      </c>
      <c r="B1" s="3161"/>
      <c r="C1" s="3161"/>
      <c r="D1" s="3161"/>
      <c r="E1" s="3161"/>
      <c r="F1" s="3161"/>
      <c r="G1" s="3161"/>
      <c r="H1" s="3161"/>
      <c r="I1" s="3161"/>
      <c r="J1" s="3161"/>
      <c r="K1" s="3161"/>
      <c r="L1" s="3161"/>
      <c r="M1" s="3161"/>
      <c r="N1" s="3161"/>
      <c r="O1" s="1498"/>
      <c r="P1" s="1498"/>
      <c r="Q1" s="1498"/>
      <c r="R1" s="1498"/>
      <c r="S1" s="1498"/>
      <c r="T1" s="1498"/>
      <c r="U1" s="1498"/>
      <c r="V1" s="1498"/>
      <c r="W1" s="1498"/>
      <c r="X1" s="1498"/>
      <c r="Y1" s="1498"/>
      <c r="Z1" s="1498"/>
    </row>
    <row r="2" spans="1:37" ht="5.0999999999999996" customHeight="1" thickTop="1" x14ac:dyDescent="0.2">
      <c r="A2" s="1164"/>
      <c r="B2" s="1164"/>
      <c r="C2" s="1164"/>
      <c r="D2" s="1164"/>
      <c r="E2" s="1164"/>
      <c r="F2" s="1164"/>
      <c r="G2" s="1164"/>
      <c r="H2" s="1164"/>
      <c r="I2" s="1164"/>
      <c r="J2" s="1164"/>
      <c r="K2" s="1164"/>
      <c r="L2" s="1164"/>
      <c r="M2" s="1164"/>
      <c r="N2" s="1164"/>
      <c r="O2" s="1498"/>
      <c r="P2" s="1498"/>
      <c r="Q2" s="1498"/>
      <c r="R2" s="1498"/>
      <c r="S2" s="1498"/>
      <c r="T2" s="1498"/>
      <c r="U2" s="1498"/>
      <c r="V2" s="1498"/>
      <c r="W2" s="1498"/>
      <c r="X2" s="1498"/>
      <c r="Y2" s="1498"/>
      <c r="Z2" s="1498"/>
    </row>
    <row r="3" spans="1:37" ht="39" customHeight="1" x14ac:dyDescent="0.2">
      <c r="A3" s="3155" t="s">
        <v>858</v>
      </c>
      <c r="B3" s="3155"/>
      <c r="C3" s="3155"/>
      <c r="D3" s="3155"/>
      <c r="E3" s="3155"/>
      <c r="F3" s="3155"/>
      <c r="G3" s="3155"/>
      <c r="H3" s="3155"/>
      <c r="I3" s="3155"/>
      <c r="J3" s="3155"/>
      <c r="K3" s="3155"/>
      <c r="L3" s="3155"/>
      <c r="M3" s="3155"/>
      <c r="N3" s="3155"/>
      <c r="O3" s="1498"/>
      <c r="P3" s="1498"/>
      <c r="Q3" s="1498"/>
      <c r="R3" s="1498"/>
      <c r="S3" s="1498"/>
      <c r="T3" s="1498"/>
      <c r="U3" s="1498"/>
      <c r="V3" s="1498"/>
      <c r="W3" s="1498"/>
      <c r="X3" s="1498"/>
      <c r="Y3" s="1498"/>
      <c r="Z3" s="1498"/>
    </row>
    <row r="4" spans="1:37" ht="5.0999999999999996" customHeight="1" x14ac:dyDescent="0.2">
      <c r="A4" s="1164"/>
      <c r="B4" s="1164"/>
      <c r="C4" s="1164"/>
      <c r="D4" s="1164"/>
      <c r="E4" s="1164"/>
      <c r="F4" s="1164"/>
      <c r="G4" s="1164"/>
      <c r="H4" s="1164"/>
      <c r="I4" s="1164"/>
      <c r="J4" s="1164"/>
      <c r="K4" s="1164"/>
      <c r="L4" s="1164"/>
      <c r="M4" s="1164"/>
      <c r="N4" s="1164"/>
      <c r="O4" s="1498"/>
      <c r="P4" s="1498"/>
      <c r="Q4" s="1498"/>
      <c r="R4" s="1498"/>
      <c r="S4" s="1498"/>
      <c r="T4" s="1498"/>
      <c r="U4" s="1498"/>
      <c r="V4" s="1498"/>
      <c r="W4" s="1498"/>
      <c r="X4" s="1498"/>
      <c r="Y4" s="1498"/>
      <c r="Z4" s="1498"/>
    </row>
    <row r="5" spans="1:37" ht="15.75" x14ac:dyDescent="0.25">
      <c r="A5" s="1273" t="s">
        <v>1654</v>
      </c>
      <c r="B5" s="1259"/>
      <c r="C5" s="1164"/>
      <c r="D5" s="1164"/>
      <c r="E5" s="1164"/>
      <c r="F5" s="1164"/>
      <c r="G5" s="1164"/>
      <c r="H5" s="1164"/>
      <c r="I5" s="1164"/>
      <c r="J5" s="1164"/>
      <c r="K5" s="1164"/>
      <c r="L5" s="1677" t="s">
        <v>2380</v>
      </c>
      <c r="M5" s="1677"/>
      <c r="N5" s="1677"/>
      <c r="O5" s="2921"/>
      <c r="P5" s="1498"/>
      <c r="Q5" s="1498"/>
      <c r="R5" s="1498"/>
      <c r="S5" s="1498"/>
      <c r="T5" s="1498"/>
      <c r="U5" s="1498"/>
      <c r="V5" s="1498"/>
      <c r="W5" s="1498"/>
      <c r="X5" s="1498"/>
      <c r="Y5" s="1498"/>
      <c r="Z5" s="1498"/>
    </row>
    <row r="6" spans="1:37" x14ac:dyDescent="0.2">
      <c r="A6" s="1164"/>
      <c r="B6" s="1164"/>
      <c r="C6" s="1256" t="s">
        <v>1686</v>
      </c>
      <c r="D6" s="1287">
        <f>NPK_Organiques!H27</f>
        <v>110.31207100591716</v>
      </c>
      <c r="E6" s="1164"/>
      <c r="F6" s="1164"/>
      <c r="G6" s="1164"/>
      <c r="H6" s="1164"/>
      <c r="I6" s="1256" t="s">
        <v>1687</v>
      </c>
      <c r="J6" s="1287">
        <f>NPK_Organiques!K27</f>
        <v>43.858147052377824</v>
      </c>
      <c r="K6" s="1164"/>
      <c r="L6" s="1677" t="s">
        <v>2405</v>
      </c>
      <c r="M6" s="1677"/>
      <c r="N6" s="1677"/>
      <c r="O6" s="2921"/>
      <c r="P6" s="1498"/>
      <c r="Q6" s="1498"/>
      <c r="R6" s="1498"/>
      <c r="S6" s="1498"/>
      <c r="T6" s="1498"/>
      <c r="U6" s="1498"/>
      <c r="V6" s="1498"/>
      <c r="W6" s="1498"/>
      <c r="X6" s="1498"/>
      <c r="Y6" s="1498"/>
      <c r="Z6" s="1498"/>
    </row>
    <row r="7" spans="1:37" x14ac:dyDescent="0.2">
      <c r="A7" s="1164"/>
      <c r="B7" s="1164"/>
      <c r="C7" s="1164"/>
      <c r="D7" s="1277" t="str">
        <f>IF(D6&lt;=170,"","Excédent par rapport à la règlementation")</f>
        <v/>
      </c>
      <c r="E7" s="1164"/>
      <c r="F7" s="1164"/>
      <c r="G7" s="1164"/>
      <c r="H7" s="1164"/>
      <c r="I7" s="1164"/>
      <c r="J7" s="1277"/>
      <c r="K7" s="1164"/>
      <c r="L7" s="1677" t="s">
        <v>2381</v>
      </c>
      <c r="M7" s="1677"/>
      <c r="N7" s="1677"/>
      <c r="O7" s="2921"/>
      <c r="P7" s="1498"/>
      <c r="Q7" s="1498"/>
      <c r="R7" s="1498"/>
      <c r="S7" s="1498"/>
      <c r="T7" s="1498"/>
      <c r="U7" s="1498"/>
      <c r="V7" s="1498"/>
      <c r="W7" s="1498"/>
      <c r="X7" s="1498"/>
      <c r="Y7" s="1498"/>
      <c r="Z7" s="1498"/>
    </row>
    <row r="8" spans="1:37" ht="5.0999999999999996" customHeight="1" thickBot="1" x14ac:dyDescent="0.25">
      <c r="A8" s="1164"/>
      <c r="B8" s="1164"/>
      <c r="C8" s="1164"/>
      <c r="D8" s="1164"/>
      <c r="E8" s="1164"/>
      <c r="F8" s="1164"/>
      <c r="G8" s="1164"/>
      <c r="H8" s="1164"/>
      <c r="I8" s="1164"/>
      <c r="J8" s="1164"/>
      <c r="K8" s="1164"/>
      <c r="L8" s="1677"/>
      <c r="M8" s="1677"/>
      <c r="N8" s="1677"/>
      <c r="O8" s="2921"/>
      <c r="P8" s="1498"/>
      <c r="Q8" s="1498"/>
      <c r="R8" s="1498"/>
      <c r="S8" s="1498"/>
      <c r="T8" s="1498"/>
      <c r="U8" s="1498"/>
      <c r="V8" s="1498"/>
      <c r="W8" s="1498"/>
      <c r="X8" s="1498"/>
      <c r="Y8" s="1498"/>
      <c r="Z8" s="1498"/>
      <c r="AD8" s="630"/>
      <c r="AE8" s="630"/>
      <c r="AF8" s="630"/>
    </row>
    <row r="9" spans="1:37" ht="12.75" customHeight="1" x14ac:dyDescent="0.2">
      <c r="A9" s="1164"/>
      <c r="B9" s="1164"/>
      <c r="C9" s="1256" t="s">
        <v>1028</v>
      </c>
      <c r="D9" s="1287">
        <f>NPK_Organiques!H28</f>
        <v>134.16332960179113</v>
      </c>
      <c r="E9" s="1164"/>
      <c r="F9" s="1164"/>
      <c r="G9" s="1164"/>
      <c r="H9" s="1164"/>
      <c r="I9" s="1256" t="s">
        <v>1029</v>
      </c>
      <c r="J9" s="1287">
        <f>NPK_Organiques!K28</f>
        <v>53.340989658297353</v>
      </c>
      <c r="K9" s="1164"/>
      <c r="L9" s="3166" t="s">
        <v>2383</v>
      </c>
      <c r="M9" s="3167"/>
      <c r="N9" s="3167"/>
      <c r="O9" s="3167"/>
      <c r="P9" s="3145" t="s">
        <v>2382</v>
      </c>
      <c r="Q9" s="3146"/>
      <c r="R9" s="1498"/>
      <c r="S9" s="1498"/>
      <c r="T9" s="1498"/>
      <c r="U9" s="1498"/>
      <c r="V9" s="1498"/>
      <c r="W9" s="1498"/>
      <c r="X9" s="1498"/>
      <c r="Y9" s="1498"/>
      <c r="Z9" s="1498"/>
      <c r="AA9" s="1430" t="s">
        <v>860</v>
      </c>
      <c r="AB9" s="1433">
        <v>1</v>
      </c>
      <c r="AC9" s="1337" t="s">
        <v>861</v>
      </c>
      <c r="AD9" s="630"/>
      <c r="AE9" s="630"/>
      <c r="AF9" s="630"/>
    </row>
    <row r="10" spans="1:37" ht="5.0999999999999996" customHeight="1" x14ac:dyDescent="0.2">
      <c r="A10" s="1164"/>
      <c r="B10" s="1164"/>
      <c r="C10" s="1256"/>
      <c r="D10" s="1256"/>
      <c r="E10" s="1256"/>
      <c r="F10" s="1256"/>
      <c r="G10" s="1256"/>
      <c r="H10" s="1256"/>
      <c r="I10" s="1256"/>
      <c r="J10" s="1256"/>
      <c r="K10" s="1256"/>
      <c r="L10" s="3167"/>
      <c r="M10" s="3167"/>
      <c r="N10" s="3167"/>
      <c r="O10" s="3167"/>
      <c r="P10" s="3147"/>
      <c r="Q10" s="3148"/>
      <c r="R10" s="1498"/>
      <c r="S10" s="1498"/>
      <c r="T10" s="1498"/>
      <c r="U10" s="1498"/>
      <c r="V10" s="1498"/>
      <c r="W10" s="1498"/>
      <c r="X10" s="1498"/>
      <c r="Y10" s="1498"/>
      <c r="Z10" s="1498"/>
      <c r="AA10" s="1430"/>
      <c r="AB10" s="1430"/>
    </row>
    <row r="11" spans="1:37" ht="12.75" customHeight="1" x14ac:dyDescent="0.2">
      <c r="A11" s="1164"/>
      <c r="B11" s="1164"/>
      <c r="C11" s="1431" t="s">
        <v>1511</v>
      </c>
      <c r="D11" s="1287">
        <f>NPK_Organiques!H29</f>
        <v>141.82980557903633</v>
      </c>
      <c r="E11" s="1164"/>
      <c r="F11" s="1164"/>
      <c r="G11" s="1164"/>
      <c r="H11" s="1164"/>
      <c r="I11" s="1431" t="s">
        <v>1512</v>
      </c>
      <c r="J11" s="1287">
        <f>NPK_Organiques!K29</f>
        <v>56.389046210200057</v>
      </c>
      <c r="K11" s="1256"/>
      <c r="L11" s="3167"/>
      <c r="M11" s="3167"/>
      <c r="N11" s="3167"/>
      <c r="O11" s="3167"/>
      <c r="P11" s="3147"/>
      <c r="Q11" s="3148"/>
      <c r="R11" s="1498"/>
      <c r="S11" s="1498"/>
      <c r="T11" s="1498"/>
      <c r="U11" s="1498"/>
      <c r="V11" s="1498"/>
      <c r="W11" s="1498"/>
      <c r="X11" s="1498"/>
      <c r="Y11" s="1498"/>
      <c r="Z11" s="1498"/>
      <c r="AA11" s="1430"/>
      <c r="AB11" s="1430"/>
    </row>
    <row r="12" spans="1:37" ht="5.0999999999999996" customHeight="1" x14ac:dyDescent="0.2">
      <c r="A12" s="1164"/>
      <c r="B12" s="1164"/>
      <c r="C12" s="1164"/>
      <c r="D12" s="1164"/>
      <c r="E12" s="1164"/>
      <c r="F12" s="1164"/>
      <c r="G12" s="1164"/>
      <c r="H12" s="1164"/>
      <c r="I12" s="1164"/>
      <c r="J12" s="1164"/>
      <c r="K12" s="1164"/>
      <c r="L12" s="3167"/>
      <c r="M12" s="3167"/>
      <c r="N12" s="3167"/>
      <c r="O12" s="3167"/>
      <c r="P12" s="3147"/>
      <c r="Q12" s="3148"/>
      <c r="R12" s="1498"/>
      <c r="S12" s="1498"/>
      <c r="T12" s="1498"/>
      <c r="U12" s="1498"/>
      <c r="V12" s="1498"/>
      <c r="W12" s="1498"/>
      <c r="X12" s="1498"/>
      <c r="Y12" s="1498"/>
      <c r="Z12" s="1498"/>
    </row>
    <row r="13" spans="1:37" ht="13.5" customHeight="1" thickBot="1" x14ac:dyDescent="0.25">
      <c r="A13" s="1164"/>
      <c r="B13" s="1164"/>
      <c r="C13" s="1431" t="s">
        <v>1061</v>
      </c>
      <c r="D13" s="1287">
        <f>NPK_Organiques!G32</f>
        <v>82.239099080300534</v>
      </c>
      <c r="E13" s="1331" t="s">
        <v>190</v>
      </c>
      <c r="F13" s="1164"/>
      <c r="G13" s="1164"/>
      <c r="H13" s="1164"/>
      <c r="I13" s="1431" t="s">
        <v>1062</v>
      </c>
      <c r="J13" s="1287">
        <f>NPK_Organiques!J32</f>
        <v>26.888193410009517</v>
      </c>
      <c r="K13" s="1164"/>
      <c r="L13" s="3167"/>
      <c r="M13" s="3167"/>
      <c r="N13" s="3167"/>
      <c r="O13" s="3167"/>
      <c r="P13" s="3149"/>
      <c r="Q13" s="3150"/>
      <c r="R13" s="1498"/>
      <c r="S13" s="1498"/>
      <c r="T13" s="1498"/>
      <c r="U13" s="1498"/>
      <c r="V13" s="1498"/>
      <c r="W13" s="1498"/>
      <c r="X13" s="1498"/>
      <c r="Y13" s="1498"/>
      <c r="Z13" s="1498"/>
      <c r="AJ13" s="2101" t="s">
        <v>187</v>
      </c>
      <c r="AK13" s="2101" t="s">
        <v>665</v>
      </c>
    </row>
    <row r="14" spans="1:37" ht="5.0999999999999996" customHeight="1" x14ac:dyDescent="0.2">
      <c r="A14" s="1164"/>
      <c r="B14" s="1164"/>
      <c r="C14" s="1164"/>
      <c r="D14" s="1164"/>
      <c r="E14" s="1164"/>
      <c r="F14" s="1164"/>
      <c r="G14" s="1164"/>
      <c r="H14" s="1164"/>
      <c r="I14" s="1164"/>
      <c r="J14" s="1164"/>
      <c r="K14" s="1164"/>
      <c r="L14" s="3167"/>
      <c r="M14" s="3167"/>
      <c r="N14" s="3167"/>
      <c r="O14" s="3167"/>
      <c r="P14" s="1498"/>
      <c r="Q14" s="1498"/>
      <c r="R14" s="1498"/>
      <c r="S14" s="1498"/>
      <c r="T14" s="1498"/>
      <c r="U14" s="1498"/>
      <c r="V14" s="1498"/>
      <c r="W14" s="1498"/>
      <c r="X14" s="1498"/>
      <c r="Y14" s="1498"/>
      <c r="Z14" s="1498"/>
    </row>
    <row r="15" spans="1:37" ht="20.25" customHeight="1" x14ac:dyDescent="0.3">
      <c r="A15" s="1274" t="s">
        <v>1640</v>
      </c>
      <c r="B15" s="1259"/>
      <c r="C15" s="1164"/>
      <c r="D15" s="1164"/>
      <c r="E15" s="1164"/>
      <c r="F15" s="1164"/>
      <c r="G15" s="1164"/>
      <c r="H15" s="1164"/>
      <c r="I15" s="1164"/>
      <c r="J15" s="1164"/>
      <c r="K15" s="1164"/>
      <c r="L15" s="3167"/>
      <c r="M15" s="3167"/>
      <c r="N15" s="3167"/>
      <c r="O15" s="3167"/>
      <c r="P15" s="1498"/>
      <c r="Q15" s="1498"/>
      <c r="R15" s="1498"/>
      <c r="S15" s="1498"/>
      <c r="T15" s="1498"/>
      <c r="U15" s="1498"/>
      <c r="V15" s="1498"/>
      <c r="W15" s="1498"/>
      <c r="X15" s="1498"/>
      <c r="Y15" s="1498"/>
      <c r="Z15" s="1498"/>
      <c r="AH15" s="3153" t="s">
        <v>2204</v>
      </c>
      <c r="AI15" s="1495" t="s">
        <v>1722</v>
      </c>
      <c r="AJ15" s="1271">
        <f>Paramètres!AE11</f>
        <v>0.6</v>
      </c>
      <c r="AK15" s="1271">
        <f>Paramètres!AF11</f>
        <v>1.6</v>
      </c>
    </row>
    <row r="16" spans="1:37" ht="17.25" customHeight="1" x14ac:dyDescent="0.2">
      <c r="A16" s="1164"/>
      <c r="B16" s="1164"/>
      <c r="C16" s="1794" t="s">
        <v>859</v>
      </c>
      <c r="D16" s="1164"/>
      <c r="E16" s="1164"/>
      <c r="F16" s="1164"/>
      <c r="G16" s="1164"/>
      <c r="H16" s="1164"/>
      <c r="I16" s="1164"/>
      <c r="J16" s="1164"/>
      <c r="K16" s="1164"/>
      <c r="L16" s="1164"/>
      <c r="M16" s="1164"/>
      <c r="N16" s="1164"/>
      <c r="O16" s="1498"/>
      <c r="P16" s="1498"/>
      <c r="Q16" s="1498"/>
      <c r="R16" s="1498"/>
      <c r="S16" s="1498"/>
      <c r="T16" s="1498"/>
      <c r="U16" s="1498"/>
      <c r="V16" s="1498"/>
      <c r="W16" s="1498"/>
      <c r="X16" s="1498"/>
      <c r="Y16" s="1498"/>
      <c r="Z16" s="1498"/>
      <c r="AH16" s="3154"/>
      <c r="AI16" s="1495" t="s">
        <v>1723</v>
      </c>
      <c r="AJ16" s="1271">
        <f>Paramètres!AE12</f>
        <v>0.5</v>
      </c>
      <c r="AK16" s="1271">
        <f>Paramètres!AF12</f>
        <v>1.23</v>
      </c>
    </row>
    <row r="17" spans="1:37" ht="16.5" customHeight="1" x14ac:dyDescent="0.2">
      <c r="A17" s="1164"/>
      <c r="B17" s="1164"/>
      <c r="C17" s="1164"/>
      <c r="D17" s="1773" t="s">
        <v>1596</v>
      </c>
      <c r="E17" s="1164"/>
      <c r="F17" s="1164"/>
      <c r="G17" s="1164"/>
      <c r="H17" s="1164"/>
      <c r="I17" s="1164"/>
      <c r="J17" s="1164"/>
      <c r="K17" s="1164"/>
      <c r="L17" s="1164"/>
      <c r="M17" s="1164"/>
      <c r="N17" s="1164"/>
      <c r="O17" s="1498"/>
      <c r="P17" s="1498"/>
      <c r="Q17" s="1498"/>
      <c r="R17" s="1498"/>
      <c r="S17" s="1498"/>
      <c r="T17" s="1498"/>
      <c r="U17" s="1498"/>
      <c r="V17" s="1498"/>
      <c r="W17" s="1498"/>
      <c r="X17" s="1498"/>
      <c r="Y17" s="1498"/>
      <c r="Z17" s="1498"/>
      <c r="AE17" s="792"/>
      <c r="AH17" s="3154"/>
      <c r="AI17" s="1495" t="s">
        <v>1724</v>
      </c>
      <c r="AJ17" s="1271">
        <f>Paramètres!AE13</f>
        <v>0.68</v>
      </c>
      <c r="AK17" s="1271">
        <f>Paramètres!AF13</f>
        <v>1.3</v>
      </c>
    </row>
    <row r="18" spans="1:37" ht="16.5" customHeight="1" x14ac:dyDescent="0.2">
      <c r="A18" s="1164"/>
      <c r="B18" s="1164"/>
      <c r="C18" s="1164"/>
      <c r="D18" s="1773" t="s">
        <v>2019</v>
      </c>
      <c r="E18" s="1164"/>
      <c r="F18" s="1164"/>
      <c r="G18" s="1164"/>
      <c r="H18" s="1164"/>
      <c r="I18" s="1164"/>
      <c r="J18" s="1164"/>
      <c r="K18" s="1164"/>
      <c r="L18" s="1164"/>
      <c r="M18" s="1164"/>
      <c r="N18" s="1164"/>
      <c r="O18" s="1498"/>
      <c r="P18" s="1498"/>
      <c r="Q18" s="1498"/>
      <c r="R18" s="1498"/>
      <c r="S18" s="1498"/>
      <c r="T18" s="1498"/>
      <c r="U18" s="1498"/>
      <c r="V18" s="1498"/>
      <c r="W18" s="1498"/>
      <c r="X18" s="1498"/>
      <c r="Y18" s="1498"/>
      <c r="Z18" s="1498"/>
      <c r="AH18" s="3154"/>
      <c r="AI18" s="1495" t="s">
        <v>1726</v>
      </c>
      <c r="AJ18" s="1271">
        <f>Paramètres!AE14</f>
        <v>0.6</v>
      </c>
      <c r="AK18" s="1271">
        <f>Paramètres!AF14</f>
        <v>0.7</v>
      </c>
    </row>
    <row r="19" spans="1:37" ht="16.5" customHeight="1" x14ac:dyDescent="0.2">
      <c r="A19" s="1164"/>
      <c r="B19" s="1164"/>
      <c r="C19" s="1164"/>
      <c r="D19" s="1773" t="s">
        <v>1597</v>
      </c>
      <c r="E19" s="1164"/>
      <c r="F19" s="1164"/>
      <c r="G19" s="1164"/>
      <c r="H19" s="1164"/>
      <c r="I19" s="1164"/>
      <c r="J19" s="1164"/>
      <c r="K19" s="1164"/>
      <c r="L19" s="1164"/>
      <c r="M19" s="1164"/>
      <c r="N19" s="1164"/>
      <c r="O19" s="1498"/>
      <c r="P19" s="1498"/>
      <c r="Q19" s="1498"/>
      <c r="R19" s="1498"/>
      <c r="S19" s="1498"/>
      <c r="T19" s="1498"/>
      <c r="U19" s="1498"/>
      <c r="V19" s="1498"/>
      <c r="W19" s="1498"/>
      <c r="X19" s="1498"/>
      <c r="Y19" s="1498"/>
      <c r="Z19" s="1498"/>
      <c r="AH19" s="3154"/>
      <c r="AI19" s="1495" t="s">
        <v>1725</v>
      </c>
      <c r="AJ19" s="1271">
        <f>Paramètres!AE15</f>
        <v>0.85</v>
      </c>
      <c r="AK19" s="1271">
        <f>Paramètres!AF15</f>
        <v>1.3</v>
      </c>
    </row>
    <row r="20" spans="1:37" x14ac:dyDescent="0.2">
      <c r="A20" s="1164"/>
      <c r="B20" s="1164"/>
      <c r="C20" s="1164"/>
      <c r="D20" s="1164"/>
      <c r="E20" s="1164"/>
      <c r="F20" s="1164"/>
      <c r="G20" s="1164"/>
      <c r="H20" s="1164"/>
      <c r="I20" s="1164"/>
      <c r="J20" s="1164"/>
      <c r="K20" s="1164"/>
      <c r="L20" s="1164"/>
      <c r="M20" s="1164"/>
      <c r="N20" s="1164"/>
      <c r="O20" s="1498"/>
      <c r="P20" s="1498"/>
      <c r="Q20" s="1498"/>
      <c r="R20" s="1498"/>
      <c r="S20" s="1498"/>
      <c r="T20" s="1498"/>
      <c r="U20" s="1498"/>
      <c r="V20" s="1498"/>
      <c r="W20" s="1498"/>
      <c r="X20" s="1498"/>
      <c r="Y20" s="1498"/>
      <c r="Z20" s="1498"/>
      <c r="AH20" s="3154"/>
      <c r="AI20" s="1495" t="s">
        <v>1728</v>
      </c>
      <c r="AJ20" s="1271">
        <f>Paramètres!AE16</f>
        <v>1.3</v>
      </c>
      <c r="AK20" s="1271">
        <f>Paramètres!AF16</f>
        <v>1.7</v>
      </c>
    </row>
    <row r="21" spans="1:37" x14ac:dyDescent="0.2">
      <c r="A21" s="1164"/>
      <c r="B21" s="1258" t="str">
        <f>IF(AND(D6&lt;=170,NonExced=1),"Aucune entrée, aucune sortie d'effluents","###")</f>
        <v>Aucune entrée, aucune sortie d'effluents</v>
      </c>
      <c r="C21" s="1164"/>
      <c r="D21" s="1164"/>
      <c r="E21" s="1164"/>
      <c r="F21" s="1164"/>
      <c r="G21" s="1164"/>
      <c r="H21" s="1164"/>
      <c r="I21" s="1164"/>
      <c r="J21" s="1164"/>
      <c r="K21" s="1164"/>
      <c r="L21" s="1164"/>
      <c r="M21" s="1164"/>
      <c r="N21" s="1164"/>
      <c r="O21" s="1826" t="s">
        <v>2293</v>
      </c>
      <c r="P21" s="1498"/>
      <c r="Q21" s="1498"/>
      <c r="R21" s="1498"/>
      <c r="S21" s="1498"/>
      <c r="T21" s="1498"/>
      <c r="U21" s="1498"/>
      <c r="V21" s="1498"/>
      <c r="W21" s="1498"/>
      <c r="X21" s="1498"/>
      <c r="Y21" s="1498"/>
      <c r="Z21" s="1498"/>
      <c r="AH21" s="3154"/>
      <c r="AI21" s="1495" t="s">
        <v>1727</v>
      </c>
      <c r="AJ21" s="1271">
        <f>Paramètres!AE17</f>
        <v>1.25</v>
      </c>
      <c r="AK21" s="1271">
        <f>Paramètres!AF17</f>
        <v>1.85</v>
      </c>
    </row>
    <row r="22" spans="1:37" x14ac:dyDescent="0.2">
      <c r="A22" s="1164"/>
      <c r="B22" s="1164"/>
      <c r="C22" s="1164"/>
      <c r="D22" s="1256" t="s">
        <v>865</v>
      </c>
      <c r="E22" s="1164"/>
      <c r="F22" s="1287">
        <f>NPK_Organiques!F21</f>
        <v>4582.5449503130094</v>
      </c>
      <c r="G22" s="1164" t="s">
        <v>867</v>
      </c>
      <c r="H22" s="1164"/>
      <c r="I22" s="1164"/>
      <c r="J22" s="1164"/>
      <c r="K22" s="1256" t="s">
        <v>463</v>
      </c>
      <c r="L22" s="1287">
        <f>NPK_Organiques!I21</f>
        <v>2199.5006630633857</v>
      </c>
      <c r="M22" s="1164" t="s">
        <v>866</v>
      </c>
      <c r="N22" s="1164"/>
      <c r="O22" s="2139">
        <f>NPK_Organiques!L21</f>
        <v>5742.067791766387</v>
      </c>
      <c r="P22" s="1826" t="s">
        <v>2294</v>
      </c>
      <c r="Q22" s="1498"/>
      <c r="R22" s="1498"/>
      <c r="S22" s="1498"/>
      <c r="T22" s="1498"/>
      <c r="U22" s="1498"/>
      <c r="V22" s="1498"/>
      <c r="W22" s="1498"/>
      <c r="X22" s="1498"/>
      <c r="Y22" s="1498"/>
      <c r="Z22" s="1498"/>
      <c r="AH22" s="3154"/>
      <c r="AI22" s="1495" t="s">
        <v>1729</v>
      </c>
      <c r="AJ22" s="1271">
        <f>Paramètres!AE18</f>
        <v>1.5</v>
      </c>
      <c r="AK22" s="1271">
        <f>Paramètres!AF18</f>
        <v>2.2200000000000002</v>
      </c>
    </row>
    <row r="23" spans="1:37" x14ac:dyDescent="0.2">
      <c r="A23" s="1164"/>
      <c r="B23" s="1164"/>
      <c r="C23" s="1164"/>
      <c r="D23" s="1164"/>
      <c r="E23" s="1164"/>
      <c r="F23" s="3163" t="str">
        <f>IF(NonExced=1,"Continuer plus bas sur le projet de répartition","")</f>
        <v>Continuer plus bas sur le projet de répartition</v>
      </c>
      <c r="G23" s="3163"/>
      <c r="H23" s="3163"/>
      <c r="I23" s="3163"/>
      <c r="J23" s="1164"/>
      <c r="K23" s="1164"/>
      <c r="L23" s="1287">
        <f>L22/SA_SAMO</f>
        <v>31.421438043762652</v>
      </c>
      <c r="M23" s="1483" t="s">
        <v>2364</v>
      </c>
      <c r="N23" s="1164"/>
      <c r="O23" s="2139">
        <f>O22/SA_SAMO</f>
        <v>82.029539882376952</v>
      </c>
      <c r="P23" s="1826" t="s">
        <v>2365</v>
      </c>
      <c r="Q23" s="1498"/>
      <c r="R23" s="1498"/>
      <c r="S23" s="1498"/>
      <c r="T23" s="1498"/>
      <c r="U23" s="1498"/>
      <c r="V23" s="1498"/>
      <c r="W23" s="1498"/>
      <c r="X23" s="1498"/>
      <c r="Y23" s="1498"/>
      <c r="Z23" s="1498"/>
      <c r="AH23" s="3154"/>
      <c r="AI23" s="1495" t="s">
        <v>1730</v>
      </c>
      <c r="AJ23" s="1271">
        <f>Paramètres!AE19</f>
        <v>1.1499999999999999</v>
      </c>
      <c r="AK23" s="1271">
        <f>Paramètres!AF19</f>
        <v>1.75</v>
      </c>
    </row>
    <row r="24" spans="1:37" s="1936" customFormat="1" ht="12.75" customHeight="1" x14ac:dyDescent="0.2">
      <c r="A24" s="1260"/>
      <c r="B24" s="1260"/>
      <c r="C24" s="1260"/>
      <c r="D24" s="1260"/>
      <c r="E24" s="1260"/>
      <c r="F24" s="1260"/>
      <c r="G24" s="1260"/>
      <c r="H24" s="1260"/>
      <c r="I24" s="1260"/>
      <c r="J24" s="1260"/>
      <c r="K24" s="1260"/>
      <c r="L24" s="2955" t="str">
        <f>IF(ROUND(L23,0)&lt;=ROUND(AB28,0),"OK","La pression P2O5 est trop élevée de "&amp;AD29&amp;" kg par ha de SPE")</f>
        <v>OK</v>
      </c>
      <c r="M24" s="1260"/>
      <c r="N24" s="1260"/>
      <c r="O24" s="2953"/>
      <c r="P24" s="2954"/>
      <c r="Q24" s="2953"/>
      <c r="R24" s="2953"/>
      <c r="S24" s="2953"/>
      <c r="T24" s="2953"/>
      <c r="U24" s="2953"/>
      <c r="V24" s="2953"/>
      <c r="W24" s="2953"/>
      <c r="X24" s="2953"/>
      <c r="Y24" s="2953"/>
      <c r="Z24" s="2953"/>
      <c r="AH24" s="3154"/>
      <c r="AI24" s="803" t="s">
        <v>1731</v>
      </c>
      <c r="AJ24" s="1271">
        <f>Paramètres!AE20</f>
        <v>0.62</v>
      </c>
      <c r="AK24" s="1271">
        <f>Paramètres!AF20</f>
        <v>0.68</v>
      </c>
    </row>
    <row r="25" spans="1:37" x14ac:dyDescent="0.2">
      <c r="A25" s="1164"/>
      <c r="B25" s="1164"/>
      <c r="C25" s="1164"/>
      <c r="D25" s="1164"/>
      <c r="E25" s="1164"/>
      <c r="F25" s="1164"/>
      <c r="G25" s="1164"/>
      <c r="H25" s="1164"/>
      <c r="I25" s="1164"/>
      <c r="J25" s="1164"/>
      <c r="K25" s="1164"/>
      <c r="L25" s="1285" t="str">
        <f>IF(ROUND(L23,0)&lt;=ROUND(AB28,0),"OK","Exportez des effluents")</f>
        <v>OK</v>
      </c>
      <c r="M25" s="1164"/>
      <c r="N25" s="1164"/>
      <c r="O25" s="1498"/>
      <c r="P25" s="1498"/>
      <c r="Q25" s="1498"/>
      <c r="R25" s="1498"/>
      <c r="S25" s="1498"/>
      <c r="T25" s="1498"/>
      <c r="U25" s="1498"/>
      <c r="V25" s="1498"/>
      <c r="W25" s="1498"/>
      <c r="X25" s="1498"/>
      <c r="Y25" s="1498"/>
      <c r="Z25" s="1498"/>
      <c r="AB25" s="1745">
        <f>Paramètres!AE39</f>
        <v>80</v>
      </c>
      <c r="AC25" s="1442" t="s">
        <v>1551</v>
      </c>
      <c r="AH25" s="3154"/>
      <c r="AI25" s="1495" t="s">
        <v>1732</v>
      </c>
      <c r="AJ25" s="1271">
        <f>Paramètres!AE21</f>
        <v>0.9</v>
      </c>
      <c r="AK25" s="1271">
        <f>Paramètres!AF21</f>
        <v>1.5</v>
      </c>
    </row>
    <row r="26" spans="1:37" x14ac:dyDescent="0.2">
      <c r="A26" s="1164"/>
      <c r="B26" s="1258" t="str">
        <f>IF(AND(D6&lt;=170,NonExced=2),"J'exporte une partie des effluents","###")</f>
        <v>###</v>
      </c>
      <c r="C26" s="1164"/>
      <c r="D26" s="1164"/>
      <c r="E26" s="1164"/>
      <c r="F26" s="1164"/>
      <c r="G26" s="1164"/>
      <c r="H26" s="1164"/>
      <c r="I26" s="1164"/>
      <c r="J26" s="1164"/>
      <c r="K26" s="1164"/>
      <c r="L26" s="1164"/>
      <c r="M26" s="1164"/>
      <c r="N26" s="1164"/>
      <c r="O26" s="1498"/>
      <c r="P26" s="1498"/>
      <c r="Q26" s="1498"/>
      <c r="R26" s="1498"/>
      <c r="S26" s="1498"/>
      <c r="T26" s="1498"/>
      <c r="U26" s="1498"/>
      <c r="V26" s="1498"/>
      <c r="W26" s="1498"/>
      <c r="X26" s="1498"/>
      <c r="Y26" s="1498"/>
      <c r="Z26" s="1498"/>
      <c r="AB26" s="1745">
        <f>Paramètres!AE40</f>
        <v>75</v>
      </c>
      <c r="AC26" s="1442" t="s">
        <v>1552</v>
      </c>
      <c r="AH26" s="3154"/>
      <c r="AI26" s="1495" t="s">
        <v>1733</v>
      </c>
      <c r="AJ26" s="1271">
        <f>Paramètres!AE22</f>
        <v>1.2</v>
      </c>
      <c r="AK26" s="1271">
        <f>Paramètres!AF22</f>
        <v>1.6</v>
      </c>
    </row>
    <row r="27" spans="1:37" x14ac:dyDescent="0.2">
      <c r="A27" s="1483" t="s">
        <v>2377</v>
      </c>
      <c r="B27" s="1258"/>
      <c r="C27" s="1486"/>
      <c r="D27" s="1164"/>
      <c r="E27" s="1164"/>
      <c r="F27" s="1164"/>
      <c r="G27" s="1164"/>
      <c r="H27" s="1164"/>
      <c r="I27" s="1164"/>
      <c r="J27" s="1164"/>
      <c r="K27" s="1164"/>
      <c r="L27" s="1164"/>
      <c r="M27" s="1164"/>
      <c r="N27" s="1164"/>
      <c r="O27" s="1498"/>
      <c r="P27" s="1498"/>
      <c r="Q27" s="1498"/>
      <c r="R27" s="1498"/>
      <c r="S27" s="1498"/>
      <c r="T27" s="1498"/>
      <c r="U27" s="1498"/>
      <c r="V27" s="1498"/>
      <c r="W27" s="1498"/>
      <c r="X27" s="1498"/>
      <c r="Y27" s="1498"/>
      <c r="Z27" s="1498"/>
      <c r="AH27" s="3154"/>
      <c r="AI27" s="1495" t="s">
        <v>1734</v>
      </c>
      <c r="AJ27" s="1271">
        <f>Paramètres!AE23</f>
        <v>1.33</v>
      </c>
      <c r="AK27" s="1271">
        <f>Paramètres!AF23</f>
        <v>1.8</v>
      </c>
    </row>
    <row r="28" spans="1:37" x14ac:dyDescent="0.2">
      <c r="A28" s="1164"/>
      <c r="B28" s="1164"/>
      <c r="C28" s="1431" t="s">
        <v>1550</v>
      </c>
      <c r="D28" s="1261"/>
      <c r="E28" s="1483" t="s">
        <v>2378</v>
      </c>
      <c r="F28" s="1483"/>
      <c r="G28" s="1164"/>
      <c r="H28" s="1584"/>
      <c r="I28" s="1584"/>
      <c r="J28" s="1584"/>
      <c r="K28" s="1584"/>
      <c r="L28" s="1584"/>
      <c r="M28" s="1584"/>
      <c r="N28" s="1584"/>
      <c r="O28" s="1498"/>
      <c r="P28" s="1805"/>
      <c r="Q28" s="1498"/>
      <c r="R28" s="1498"/>
      <c r="S28" s="1498"/>
      <c r="T28" s="1498"/>
      <c r="U28" s="1498"/>
      <c r="V28" s="1498"/>
      <c r="W28" s="1498"/>
      <c r="X28" s="1498"/>
      <c r="Y28" s="1498"/>
      <c r="Z28" s="1498"/>
      <c r="AB28" s="713">
        <f>AB25*(1-SA_SFP_HerbePc)+AB26*SA_SFP_HerbePc</f>
        <v>76.388888888888886</v>
      </c>
      <c r="AC28" s="17" t="s">
        <v>1030</v>
      </c>
      <c r="AH28" s="3154"/>
      <c r="AI28" s="1495" t="s">
        <v>1735</v>
      </c>
      <c r="AJ28" s="1271">
        <f>Paramètres!AE24</f>
        <v>1.76</v>
      </c>
      <c r="AK28" s="1271">
        <f>Paramètres!AF24</f>
        <v>2.2230000000000003</v>
      </c>
    </row>
    <row r="29" spans="1:37" ht="5.0999999999999996" customHeight="1" x14ac:dyDescent="0.2">
      <c r="A29" s="1164"/>
      <c r="B29" s="1164"/>
      <c r="C29" s="1256"/>
      <c r="D29" s="1256"/>
      <c r="E29" s="1256"/>
      <c r="F29" s="1256"/>
      <c r="G29" s="1164"/>
      <c r="H29" s="1164"/>
      <c r="I29" s="1164"/>
      <c r="J29" s="1164"/>
      <c r="K29" s="1164"/>
      <c r="L29" s="1164"/>
      <c r="M29" s="1164"/>
      <c r="N29" s="1277"/>
      <c r="O29" s="1498"/>
      <c r="P29" s="1498"/>
      <c r="Q29" s="1498"/>
      <c r="R29" s="1498"/>
      <c r="S29" s="1498"/>
      <c r="T29" s="1498"/>
      <c r="U29" s="1498"/>
      <c r="V29" s="1498"/>
      <c r="W29" s="1498"/>
      <c r="X29" s="1498"/>
      <c r="Y29" s="1498"/>
      <c r="Z29" s="1498"/>
      <c r="AB29" s="1278">
        <f>L23-AB28</f>
        <v>-44.967450845126237</v>
      </c>
      <c r="AC29" s="17" t="s">
        <v>672</v>
      </c>
      <c r="AD29" s="1276">
        <f>ROUND(AB29,0)</f>
        <v>-45</v>
      </c>
      <c r="AH29" s="3154"/>
      <c r="AI29" s="1495" t="s">
        <v>1736</v>
      </c>
      <c r="AJ29" s="1271">
        <f>Paramètres!AE25</f>
        <v>1.42</v>
      </c>
      <c r="AK29" s="1271">
        <f>Paramètres!AF25</f>
        <v>1.665</v>
      </c>
    </row>
    <row r="30" spans="1:37" ht="12.75" customHeight="1" x14ac:dyDescent="0.2">
      <c r="A30" s="1164"/>
      <c r="B30" s="1164"/>
      <c r="C30" s="1256"/>
      <c r="D30" s="1256" t="s">
        <v>457</v>
      </c>
      <c r="E30" s="1164"/>
      <c r="F30" s="3156"/>
      <c r="G30" s="3157"/>
      <c r="H30" s="3158"/>
      <c r="I30" s="1164"/>
      <c r="J30" s="1164"/>
      <c r="K30" s="1164"/>
      <c r="L30" s="1164"/>
      <c r="M30" s="1164"/>
      <c r="N30" s="1277"/>
      <c r="O30" s="1498"/>
      <c r="P30" s="1498"/>
      <c r="Q30" s="1498"/>
      <c r="R30" s="1498"/>
      <c r="S30" s="1498"/>
      <c r="T30" s="1498"/>
      <c r="U30" s="1498"/>
      <c r="V30" s="1498"/>
      <c r="W30" s="1498"/>
      <c r="X30" s="1498"/>
      <c r="Y30" s="1498"/>
      <c r="Z30" s="1498"/>
      <c r="AH30" s="3154"/>
      <c r="AI30" s="1495" t="s">
        <v>1737</v>
      </c>
      <c r="AJ30" s="1271">
        <f>Paramètres!AE26</f>
        <v>0.95</v>
      </c>
      <c r="AK30" s="1271">
        <f>Paramètres!AF26</f>
        <v>0.7</v>
      </c>
    </row>
    <row r="31" spans="1:37" ht="5.0999999999999996" customHeight="1" x14ac:dyDescent="0.2">
      <c r="A31" s="1164"/>
      <c r="B31" s="1164"/>
      <c r="C31" s="1256"/>
      <c r="D31" s="1256"/>
      <c r="E31" s="1256"/>
      <c r="F31" s="1256"/>
      <c r="G31" s="1164"/>
      <c r="H31" s="1164"/>
      <c r="I31" s="1164"/>
      <c r="J31" s="1164"/>
      <c r="K31" s="1164"/>
      <c r="L31" s="1164"/>
      <c r="M31" s="1164"/>
      <c r="N31" s="1277"/>
      <c r="O31" s="1498"/>
      <c r="P31" s="1498"/>
      <c r="Q31" s="1498"/>
      <c r="R31" s="1498"/>
      <c r="S31" s="1498"/>
      <c r="T31" s="1498"/>
      <c r="U31" s="1498"/>
      <c r="V31" s="1498"/>
      <c r="W31" s="1498"/>
      <c r="X31" s="1498"/>
      <c r="Y31" s="1498"/>
      <c r="Z31" s="1498"/>
      <c r="AH31" s="3154"/>
      <c r="AI31" s="1495" t="s">
        <v>1738</v>
      </c>
      <c r="AJ31" s="1271">
        <f>Paramètres!AE27</f>
        <v>1</v>
      </c>
      <c r="AK31" s="1271">
        <f>Paramètres!AF27</f>
        <v>0.8</v>
      </c>
    </row>
    <row r="32" spans="1:37" x14ac:dyDescent="0.2">
      <c r="A32" s="1164"/>
      <c r="B32" s="1164"/>
      <c r="C32" s="1256"/>
      <c r="D32" s="1256"/>
      <c r="E32" s="1256" t="s">
        <v>460</v>
      </c>
      <c r="F32" s="1287">
        <f>D28*SA_SPE</f>
        <v>0</v>
      </c>
      <c r="G32" s="1164"/>
      <c r="H32" s="1164" t="s">
        <v>689</v>
      </c>
      <c r="I32" s="1164"/>
      <c r="J32" s="1164"/>
      <c r="K32" s="1256" t="s">
        <v>456</v>
      </c>
      <c r="L32" s="1287" t="e">
        <f>F32*VLOOKUP(F30,AI15:AJ39,2,FALSE)</f>
        <v>#N/A</v>
      </c>
      <c r="M32" s="1164" t="s">
        <v>686</v>
      </c>
      <c r="N32" s="1277"/>
      <c r="O32" s="1498"/>
      <c r="P32" s="1498"/>
      <c r="Q32" s="1498"/>
      <c r="R32" s="1498"/>
      <c r="S32" s="1498"/>
      <c r="T32" s="1498"/>
      <c r="U32" s="1498"/>
      <c r="V32" s="1498"/>
      <c r="W32" s="1498"/>
      <c r="X32" s="1498"/>
      <c r="Y32" s="1498"/>
      <c r="Z32" s="1498"/>
      <c r="AH32" s="3154"/>
      <c r="AI32" s="1495" t="s">
        <v>1739</v>
      </c>
      <c r="AJ32" s="1271">
        <f>Paramètres!AE28</f>
        <v>0.9</v>
      </c>
      <c r="AK32" s="1271">
        <f>Paramètres!AF28</f>
        <v>0.65</v>
      </c>
    </row>
    <row r="33" spans="1:37" ht="5.0999999999999996" customHeight="1" x14ac:dyDescent="0.2">
      <c r="A33" s="1164"/>
      <c r="B33" s="1164"/>
      <c r="C33" s="1164"/>
      <c r="D33" s="1164"/>
      <c r="E33" s="1164"/>
      <c r="F33" s="1164"/>
      <c r="G33" s="1164"/>
      <c r="H33" s="1164"/>
      <c r="I33" s="1164"/>
      <c r="J33" s="1164"/>
      <c r="K33" s="1164"/>
      <c r="L33" s="1164"/>
      <c r="M33" s="1164"/>
      <c r="N33" s="1277"/>
      <c r="O33" s="1498"/>
      <c r="P33" s="1498"/>
      <c r="Q33" s="1498"/>
      <c r="R33" s="1498"/>
      <c r="S33" s="1498"/>
      <c r="T33" s="1498"/>
      <c r="U33" s="1498"/>
      <c r="V33" s="1498"/>
      <c r="W33" s="1498"/>
      <c r="X33" s="1498"/>
      <c r="Y33" s="1498"/>
      <c r="Z33" s="1498"/>
      <c r="AH33" s="3154"/>
      <c r="AI33" s="1495" t="s">
        <v>1740</v>
      </c>
      <c r="AJ33" s="1271">
        <f>Paramètres!AE29</f>
        <v>0.95</v>
      </c>
      <c r="AK33" s="1271">
        <f>Paramètres!AF29</f>
        <v>1.1499999999999999</v>
      </c>
    </row>
    <row r="34" spans="1:37" x14ac:dyDescent="0.2">
      <c r="A34" s="1164"/>
      <c r="B34" s="1164"/>
      <c r="C34" s="1164"/>
      <c r="D34" s="1164"/>
      <c r="E34" s="1431" t="s">
        <v>1765</v>
      </c>
      <c r="F34" s="1287">
        <f>NPK_Organiques!F21-Plan_Epandage!F32</f>
        <v>4582.5449503130094</v>
      </c>
      <c r="G34" s="1164"/>
      <c r="H34" s="1164" t="s">
        <v>689</v>
      </c>
      <c r="I34" s="1164"/>
      <c r="J34" s="1164"/>
      <c r="K34" s="1256" t="s">
        <v>687</v>
      </c>
      <c r="L34" s="1287" t="e">
        <f>NPK_Organiques!I21-Plan_Epandage!L32</f>
        <v>#N/A</v>
      </c>
      <c r="M34" s="1164" t="s">
        <v>686</v>
      </c>
      <c r="N34" s="1277"/>
      <c r="O34" s="1498"/>
      <c r="P34" s="1498"/>
      <c r="Q34" s="1498"/>
      <c r="R34" s="1498"/>
      <c r="S34" s="1498"/>
      <c r="T34" s="1498"/>
      <c r="U34" s="1498"/>
      <c r="V34" s="1498"/>
      <c r="W34" s="1498"/>
      <c r="X34" s="1498"/>
      <c r="Y34" s="1498"/>
      <c r="Z34" s="1498"/>
      <c r="AB34" s="713">
        <f>75*(1-SA_SFP_HerbePc)+65*SA_SFP_HerbePc</f>
        <v>67.777777777777771</v>
      </c>
      <c r="AC34" s="17" t="s">
        <v>1030</v>
      </c>
      <c r="AH34" s="3154"/>
      <c r="AI34" s="1495" t="s">
        <v>1741</v>
      </c>
      <c r="AJ34" s="1271">
        <f>Paramètres!AE30</f>
        <v>0.65</v>
      </c>
      <c r="AK34" s="1271">
        <f>Paramètres!AF30</f>
        <v>0.5</v>
      </c>
    </row>
    <row r="35" spans="1:37" x14ac:dyDescent="0.2">
      <c r="A35" s="1164"/>
      <c r="B35" s="1164"/>
      <c r="C35" s="1164"/>
      <c r="D35" s="1164"/>
      <c r="E35" s="1164"/>
      <c r="F35" s="1260" t="s">
        <v>1637</v>
      </c>
      <c r="G35" s="1260"/>
      <c r="H35" s="1260" t="s">
        <v>1638</v>
      </c>
      <c r="I35" s="1483" t="s">
        <v>2363</v>
      </c>
      <c r="J35" s="1164"/>
      <c r="K35" s="1164"/>
      <c r="L35" s="1164"/>
      <c r="M35" s="1164"/>
      <c r="N35" s="1277"/>
      <c r="O35" s="1498"/>
      <c r="P35" s="1498"/>
      <c r="Q35" s="1498"/>
      <c r="R35" s="1498"/>
      <c r="S35" s="1498"/>
      <c r="T35" s="1498"/>
      <c r="U35" s="1498"/>
      <c r="V35" s="1498"/>
      <c r="W35" s="1498"/>
      <c r="X35" s="1498"/>
      <c r="Y35" s="1498"/>
      <c r="Z35" s="1498"/>
      <c r="AB35" s="1278" t="e">
        <f>H37-AB34</f>
        <v>#N/A</v>
      </c>
      <c r="AC35" s="17" t="s">
        <v>672</v>
      </c>
      <c r="AD35" s="1276" t="e">
        <f>ROUND(AB35,0)</f>
        <v>#N/A</v>
      </c>
      <c r="AH35" s="3154"/>
      <c r="AI35" s="1495" t="s">
        <v>1742</v>
      </c>
      <c r="AJ35" s="1271">
        <f>Paramètres!AE31</f>
        <v>0.64</v>
      </c>
      <c r="AK35" s="1271">
        <f>Paramètres!AF31</f>
        <v>1.71</v>
      </c>
    </row>
    <row r="36" spans="1:37" x14ac:dyDescent="0.2">
      <c r="A36" s="1796" t="s">
        <v>1653</v>
      </c>
      <c r="B36" s="1796"/>
      <c r="C36" s="1796"/>
      <c r="D36" s="1797" t="s">
        <v>625</v>
      </c>
      <c r="E36" s="1796"/>
      <c r="F36" s="1850">
        <f>(F34+NPK_Organiques!G21)/SA_SAUnette</f>
        <v>110.31207100591716</v>
      </c>
      <c r="G36" s="1796"/>
      <c r="H36" s="2929">
        <f>(F34+NPK_Organiques!G21)/SA_SPE</f>
        <v>134.16332960179113</v>
      </c>
      <c r="I36" s="2912">
        <f>(F34+NPK_Organiques!G21)/SA_SAMO</f>
        <v>141.82980557903633</v>
      </c>
      <c r="J36" s="1164"/>
      <c r="K36" s="1164"/>
      <c r="L36" s="1285" t="e">
        <f>IF(ROUND(H37,0)&lt;=ROUND(AB34,0),"OK","La pression P2O5 est trop élevée de "&amp;AD35&amp;" kg par ha de SPE")</f>
        <v>#N/A</v>
      </c>
      <c r="M36" s="1277"/>
      <c r="N36" s="1277"/>
      <c r="O36" s="1498"/>
      <c r="P36" s="1806"/>
      <c r="Q36" s="1498"/>
      <c r="R36" s="1498"/>
      <c r="S36" s="1498"/>
      <c r="T36" s="1498"/>
      <c r="U36" s="1498"/>
      <c r="V36" s="1498"/>
      <c r="W36" s="1498"/>
      <c r="X36" s="1498"/>
      <c r="Y36" s="1498"/>
      <c r="Z36" s="1498"/>
      <c r="AB36" s="17" t="e">
        <f>D28+(AD35*SA_SPE/VLOOKUP(F30,AI15:AJ39,2,FALSE))/SA_SAMO</f>
        <v>#N/A</v>
      </c>
      <c r="AC36" s="17" t="s">
        <v>458</v>
      </c>
      <c r="AD36" s="17" t="e">
        <f>ROUND(AB36,0)</f>
        <v>#N/A</v>
      </c>
      <c r="AH36" s="3154"/>
      <c r="AI36" s="1495" t="s">
        <v>443</v>
      </c>
      <c r="AJ36" s="1271">
        <f>Paramètres!AE32</f>
        <v>1.32</v>
      </c>
      <c r="AK36" s="1271">
        <f>Paramètres!AF32</f>
        <v>1.43</v>
      </c>
    </row>
    <row r="37" spans="1:37" x14ac:dyDescent="0.2">
      <c r="A37" s="1796"/>
      <c r="B37" s="1796"/>
      <c r="C37" s="1796"/>
      <c r="D37" s="1797" t="s">
        <v>187</v>
      </c>
      <c r="E37" s="1796"/>
      <c r="F37" s="1850" t="e">
        <f>(L34+NPK_Organiques!J21)/SA_SAUnette</f>
        <v>#N/A</v>
      </c>
      <c r="G37" s="1796"/>
      <c r="H37" s="2929" t="e">
        <f>(L34+NPK_Organiques!J21)/SA_SPE</f>
        <v>#N/A</v>
      </c>
      <c r="I37" s="2913" t="e">
        <f>(L34+NPK_Organiques!J21)/SA_SAMO</f>
        <v>#N/A</v>
      </c>
      <c r="J37" s="1164"/>
      <c r="K37" s="1164"/>
      <c r="L37" s="1285" t="e">
        <f>IF(ROUND(H37,0)&lt;=ROUND(AB34,0),"OK","Augmentez la quantité d'azote à exporter jusqu'à "&amp;AD36)</f>
        <v>#N/A</v>
      </c>
      <c r="M37" s="1286"/>
      <c r="N37" s="1286"/>
      <c r="O37" s="1498"/>
      <c r="P37" s="1498"/>
      <c r="Q37" s="1498"/>
      <c r="R37" s="1498"/>
      <c r="S37" s="1498"/>
      <c r="T37" s="1498"/>
      <c r="U37" s="1498"/>
      <c r="V37" s="1498"/>
      <c r="W37" s="1498"/>
      <c r="X37" s="1498"/>
      <c r="Y37" s="1498"/>
      <c r="Z37" s="1498"/>
      <c r="AH37" s="3154"/>
      <c r="AI37" s="1495" t="s">
        <v>1803</v>
      </c>
      <c r="AJ37" s="1271">
        <f>Paramètres!AE33</f>
        <v>0.35</v>
      </c>
      <c r="AK37" s="1271">
        <f>Paramètres!AF33</f>
        <v>1.5</v>
      </c>
    </row>
    <row r="38" spans="1:37" x14ac:dyDescent="0.2">
      <c r="A38" s="1164"/>
      <c r="B38" s="1258" t="str">
        <f>IF(AND(D6&lt;=170,NonExced=3),"J'importe des effluents","###")</f>
        <v>###</v>
      </c>
      <c r="C38" s="1164"/>
      <c r="D38" s="1164"/>
      <c r="E38" s="1164"/>
      <c r="F38" s="1164"/>
      <c r="G38" s="1164"/>
      <c r="H38" s="1164"/>
      <c r="I38" s="1164"/>
      <c r="J38" s="1164"/>
      <c r="K38" s="1164"/>
      <c r="L38" s="1164"/>
      <c r="M38" s="1164"/>
      <c r="N38" s="1164"/>
      <c r="O38" s="1498"/>
      <c r="P38" s="1498"/>
      <c r="Q38" s="1498"/>
      <c r="R38" s="1498"/>
      <c r="S38" s="1498"/>
      <c r="T38" s="1498"/>
      <c r="U38" s="1498"/>
      <c r="V38" s="1498"/>
      <c r="W38" s="1498"/>
      <c r="X38" s="1498"/>
      <c r="Y38" s="1498"/>
      <c r="Z38" s="1498"/>
      <c r="AH38" s="3154"/>
      <c r="AI38" s="1495" t="s">
        <v>1804</v>
      </c>
      <c r="AJ38" s="1271">
        <f>Paramètres!AE34</f>
        <v>0.56999999999999995</v>
      </c>
      <c r="AK38" s="1271">
        <f>Paramètres!AF34</f>
        <v>1.1000000000000001</v>
      </c>
    </row>
    <row r="39" spans="1:37" x14ac:dyDescent="0.2">
      <c r="A39" s="1164"/>
      <c r="B39" s="1164"/>
      <c r="C39" s="1256" t="s">
        <v>864</v>
      </c>
      <c r="D39" s="1164"/>
      <c r="E39" s="1164"/>
      <c r="F39" s="1164"/>
      <c r="G39" s="1164"/>
      <c r="H39" s="1164"/>
      <c r="I39" s="1164"/>
      <c r="J39" s="1164"/>
      <c r="K39" s="1164"/>
      <c r="L39" s="1164"/>
      <c r="M39" s="1164"/>
      <c r="N39" s="1164"/>
      <c r="O39" s="1498"/>
      <c r="P39" s="1498"/>
      <c r="Q39" s="1498"/>
      <c r="R39" s="1498"/>
      <c r="S39" s="1498"/>
      <c r="T39" s="1498"/>
      <c r="U39" s="1498"/>
      <c r="V39" s="1498"/>
      <c r="W39" s="1498"/>
      <c r="X39" s="1498"/>
      <c r="Y39" s="1498"/>
      <c r="Z39" s="1498"/>
      <c r="AH39" s="3154"/>
      <c r="AI39" s="1495" t="s">
        <v>1805</v>
      </c>
      <c r="AJ39" s="1271">
        <f>Paramètres!AE35</f>
        <v>0.47</v>
      </c>
      <c r="AK39" s="1271">
        <f>Paramètres!AF35</f>
        <v>1.3</v>
      </c>
    </row>
    <row r="40" spans="1:37" x14ac:dyDescent="0.2">
      <c r="A40" s="1164"/>
      <c r="B40" s="1164"/>
      <c r="C40" s="5" t="s">
        <v>461</v>
      </c>
      <c r="D40" s="1261"/>
      <c r="E40" s="1259"/>
      <c r="F40" s="1483" t="s">
        <v>2202</v>
      </c>
      <c r="G40" s="1164"/>
      <c r="H40" s="1483" t="s">
        <v>2205</v>
      </c>
      <c r="I40" s="1164"/>
      <c r="J40" s="1261"/>
      <c r="K40" s="1483" t="s">
        <v>2203</v>
      </c>
      <c r="L40" s="1164"/>
      <c r="M40" s="1164"/>
      <c r="N40" s="1164"/>
      <c r="O40" s="1498"/>
      <c r="P40" s="1498"/>
      <c r="Q40" s="1498"/>
      <c r="R40" s="1498"/>
      <c r="S40" s="1498"/>
      <c r="T40" s="1498"/>
      <c r="U40" s="1498"/>
      <c r="V40" s="1498"/>
      <c r="W40" s="1498"/>
      <c r="X40" s="1498"/>
      <c r="Y40" s="1498"/>
      <c r="Z40" s="1498"/>
    </row>
    <row r="41" spans="1:37" ht="5.0999999999999996" customHeight="1" x14ac:dyDescent="0.2">
      <c r="A41" s="1164"/>
      <c r="B41" s="1164"/>
      <c r="C41" s="1164"/>
      <c r="D41" s="1164"/>
      <c r="E41" s="1164"/>
      <c r="F41" s="1164"/>
      <c r="G41" s="1164"/>
      <c r="H41" s="1164"/>
      <c r="I41" s="1164"/>
      <c r="J41" s="1164"/>
      <c r="K41" s="1164"/>
      <c r="L41" s="1164"/>
      <c r="M41" s="1164"/>
      <c r="N41" s="1164"/>
      <c r="O41" s="1498"/>
      <c r="P41" s="1498"/>
      <c r="Q41" s="1498"/>
      <c r="R41" s="1498"/>
      <c r="S41" s="1498"/>
      <c r="T41" s="1498"/>
      <c r="U41" s="1498"/>
      <c r="V41" s="1498"/>
      <c r="W41" s="1498"/>
      <c r="X41" s="1498"/>
      <c r="Y41" s="1498"/>
      <c r="Z41" s="1498"/>
    </row>
    <row r="42" spans="1:37" ht="12.75" customHeight="1" x14ac:dyDescent="0.2">
      <c r="A42" s="1164"/>
      <c r="B42" s="1164"/>
      <c r="C42" s="1256"/>
      <c r="D42" s="1431" t="s">
        <v>1039</v>
      </c>
      <c r="E42" s="1164"/>
      <c r="F42" s="3156"/>
      <c r="G42" s="3157"/>
      <c r="H42" s="3158"/>
      <c r="I42" s="1164"/>
      <c r="J42" s="1164"/>
      <c r="K42" s="1256" t="s">
        <v>462</v>
      </c>
      <c r="L42" s="1287" t="e">
        <f>D40*VLOOKUP(F42,AI15:AJ39,2,FALSE)</f>
        <v>#N/A</v>
      </c>
      <c r="M42" s="1164" t="s">
        <v>686</v>
      </c>
      <c r="N42" s="1164"/>
      <c r="O42" s="1498"/>
      <c r="P42" s="1498"/>
      <c r="Q42" s="1498"/>
      <c r="R42" s="1498"/>
      <c r="S42" s="1498"/>
      <c r="T42" s="1498"/>
      <c r="U42" s="1498"/>
      <c r="V42" s="1498"/>
      <c r="W42" s="1498"/>
      <c r="X42" s="1498"/>
      <c r="Y42" s="1498"/>
      <c r="Z42" s="1498"/>
      <c r="AB42" s="1520" t="s">
        <v>2127</v>
      </c>
      <c r="AC42" s="1520" t="e">
        <f>VLOOKUP(F42,AI15:AJ39,2,FALSE)</f>
        <v>#N/A</v>
      </c>
      <c r="AH42" s="1337"/>
      <c r="AI42" s="3152" t="s">
        <v>2206</v>
      </c>
      <c r="AJ42" s="3152"/>
    </row>
    <row r="43" spans="1:37" ht="5.0999999999999996" customHeight="1" x14ac:dyDescent="0.2">
      <c r="A43" s="1164"/>
      <c r="B43" s="1164"/>
      <c r="C43" s="1164"/>
      <c r="D43" s="1164"/>
      <c r="E43" s="1164"/>
      <c r="F43" s="1164"/>
      <c r="G43" s="1164"/>
      <c r="H43" s="1164"/>
      <c r="I43" s="1164"/>
      <c r="J43" s="1164"/>
      <c r="K43" s="1164"/>
      <c r="L43" s="1164"/>
      <c r="M43" s="1164"/>
      <c r="N43" s="1164"/>
      <c r="O43" s="1498"/>
      <c r="P43" s="1498"/>
      <c r="Q43" s="1498"/>
      <c r="R43" s="1498"/>
      <c r="S43" s="1498"/>
      <c r="T43" s="1498"/>
      <c r="U43" s="1498"/>
      <c r="V43" s="1498"/>
      <c r="W43" s="1498"/>
      <c r="X43" s="1498"/>
      <c r="Y43" s="1498"/>
      <c r="Z43" s="1498"/>
      <c r="AH43" s="1337"/>
      <c r="AI43" s="1337"/>
      <c r="AJ43" s="1337"/>
    </row>
    <row r="44" spans="1:37" x14ac:dyDescent="0.2">
      <c r="A44" s="1164"/>
      <c r="B44" s="1164"/>
      <c r="C44" s="1164"/>
      <c r="D44" s="1164"/>
      <c r="E44" s="1256" t="s">
        <v>459</v>
      </c>
      <c r="F44" s="1287">
        <f>NPK_Organiques!F21+D40</f>
        <v>4582.5449503130094</v>
      </c>
      <c r="G44" s="1164" t="s">
        <v>867</v>
      </c>
      <c r="H44" s="1164"/>
      <c r="I44" s="1164"/>
      <c r="J44" s="1164"/>
      <c r="K44" s="1256" t="s">
        <v>463</v>
      </c>
      <c r="L44" s="1287" t="e">
        <f>NPK_Organiques!I21+Plan_Epandage!L42</f>
        <v>#N/A</v>
      </c>
      <c r="M44" s="1164" t="s">
        <v>866</v>
      </c>
      <c r="N44" s="1164"/>
      <c r="O44" s="1498"/>
      <c r="P44" s="1498"/>
      <c r="Q44" s="1498"/>
      <c r="R44" s="1498"/>
      <c r="S44" s="1498"/>
      <c r="T44" s="1498"/>
      <c r="U44" s="1498"/>
      <c r="V44" s="1498"/>
      <c r="W44" s="1498"/>
      <c r="X44" s="1498"/>
      <c r="Y44" s="1498"/>
      <c r="Z44" s="1498"/>
      <c r="AB44" s="713">
        <f>75*(1-SA_SFP_HerbePc)+65*SA_SFP_HerbePc</f>
        <v>67.777777777777771</v>
      </c>
      <c r="AC44" s="17" t="s">
        <v>1030</v>
      </c>
      <c r="AH44" s="1337"/>
      <c r="AI44" s="2102" t="s">
        <v>2207</v>
      </c>
      <c r="AJ44" s="2102" t="s">
        <v>1669</v>
      </c>
    </row>
    <row r="45" spans="1:37" x14ac:dyDescent="0.2">
      <c r="A45" s="1164"/>
      <c r="B45" s="1164"/>
      <c r="C45" s="1164"/>
      <c r="D45" s="1164"/>
      <c r="E45" s="1164"/>
      <c r="F45" s="1570" t="s">
        <v>1637</v>
      </c>
      <c r="G45" s="1164"/>
      <c r="H45" s="1570" t="s">
        <v>1638</v>
      </c>
      <c r="I45" s="1570" t="s">
        <v>2363</v>
      </c>
      <c r="J45" s="1164"/>
      <c r="K45" s="1164"/>
      <c r="L45" s="1164"/>
      <c r="M45" s="1164"/>
      <c r="N45" s="1164"/>
      <c r="O45" s="1498"/>
      <c r="P45" s="1806"/>
      <c r="Q45" s="1498"/>
      <c r="R45" s="1498"/>
      <c r="S45" s="1498"/>
      <c r="T45" s="1498"/>
      <c r="U45" s="1498"/>
      <c r="V45" s="1498"/>
      <c r="W45" s="1498"/>
      <c r="X45" s="1498"/>
      <c r="Y45" s="1498"/>
      <c r="Z45" s="1498"/>
      <c r="AB45" s="1278" t="e">
        <f>H47-AB44</f>
        <v>#N/A</v>
      </c>
      <c r="AC45" s="17" t="s">
        <v>672</v>
      </c>
      <c r="AD45" s="1276" t="e">
        <f>ROUND(AB45,0)</f>
        <v>#N/A</v>
      </c>
      <c r="AH45" s="1520" t="s">
        <v>187</v>
      </c>
      <c r="AI45" s="1821" t="e">
        <f>VLOOKUP(NatEffImp,$AI$15:$AK$39,2)</f>
        <v>#N/A</v>
      </c>
      <c r="AJ45" s="1821" t="e">
        <f>TotNImportPra*AI45</f>
        <v>#N/A</v>
      </c>
    </row>
    <row r="46" spans="1:37" x14ac:dyDescent="0.2">
      <c r="A46" s="1796" t="s">
        <v>1653</v>
      </c>
      <c r="B46" s="1796"/>
      <c r="C46" s="1796"/>
      <c r="D46" s="1797" t="s">
        <v>625</v>
      </c>
      <c r="E46" s="1796"/>
      <c r="F46" s="1850">
        <f>(F44+NPK_Organiques!G21)/SA_SAUnette</f>
        <v>110.31207100591716</v>
      </c>
      <c r="G46" s="2918"/>
      <c r="H46" s="2929">
        <f>(F44+NPK_Organiques!G21)/SA_SPE</f>
        <v>134.16332960179113</v>
      </c>
      <c r="I46" s="2919">
        <f>(F44+NPK_Organiques!G21)/SA_SAMO</f>
        <v>141.82980557903633</v>
      </c>
      <c r="J46" s="1164"/>
      <c r="K46" s="1164"/>
      <c r="L46" s="1285" t="e">
        <f>IF(ROUND(H47,0)&lt;=ROUND(AB44,0),"OK","La pression P2O5 est trop élevée de "&amp;AD45&amp;" kg par ha de SPE")</f>
        <v>#N/A</v>
      </c>
      <c r="M46" s="1164"/>
      <c r="N46" s="1164"/>
      <c r="O46" s="1498"/>
      <c r="P46" s="1806"/>
      <c r="Q46" s="1498"/>
      <c r="R46" s="1498"/>
      <c r="S46" s="1498"/>
      <c r="T46" s="1498"/>
      <c r="U46" s="1498"/>
      <c r="V46" s="1498"/>
      <c r="W46" s="1498"/>
      <c r="X46" s="1498"/>
      <c r="Y46" s="1498"/>
      <c r="Z46" s="1498"/>
      <c r="AB46" s="17" t="e">
        <f>D40-AD45*SA_SPE/VLOOKUP(F42,AI15:AJ39,2,FALSE)</f>
        <v>#N/A</v>
      </c>
      <c r="AC46" s="17" t="s">
        <v>458</v>
      </c>
      <c r="AD46" s="1276" t="e">
        <f>10*ROUND(AB46/10,0)</f>
        <v>#N/A</v>
      </c>
      <c r="AH46" s="1520" t="s">
        <v>665</v>
      </c>
      <c r="AI46" s="1821" t="e">
        <f>VLOOKUP(NatEffImp,$AI$15:$AK$39,3)</f>
        <v>#N/A</v>
      </c>
      <c r="AJ46" s="1821" t="e">
        <f>TotNImportPra*AI46</f>
        <v>#N/A</v>
      </c>
    </row>
    <row r="47" spans="1:37" x14ac:dyDescent="0.2">
      <c r="A47" s="1796"/>
      <c r="B47" s="1796"/>
      <c r="C47" s="1796"/>
      <c r="D47" s="1797" t="s">
        <v>187</v>
      </c>
      <c r="E47" s="1796"/>
      <c r="F47" s="1850" t="e">
        <f>(L44+NPK_Organiques!J21)/SA_SAUnette</f>
        <v>#N/A</v>
      </c>
      <c r="G47" s="2918"/>
      <c r="H47" s="2929" t="e">
        <f>(L44+NPK_Organiques!J21)/SA_SPE</f>
        <v>#N/A</v>
      </c>
      <c r="I47" s="2919" t="e">
        <f>(L44+NPK_Organiques!J21)/SA_SAMO</f>
        <v>#N/A</v>
      </c>
      <c r="J47" s="1164"/>
      <c r="K47" s="1164"/>
      <c r="L47" s="1285" t="e">
        <f>IF(ROUND(H47,0)&lt;=ROUND(AB44,0),"OK",IF(AB46&lt;0,"Exportez des effluents à raison de "&amp;AD47&amp;" kg N / ha SPE","Diminuez la quantité d'azote importée jusqu'à "&amp;AD46))</f>
        <v>#N/A</v>
      </c>
      <c r="M47" s="1164"/>
      <c r="N47" s="1164"/>
      <c r="O47" s="1498"/>
      <c r="P47" s="1498"/>
      <c r="Q47" s="1498"/>
      <c r="R47" s="1498"/>
      <c r="S47" s="1498"/>
      <c r="T47" s="1498"/>
      <c r="U47" s="1498"/>
      <c r="V47" s="1498"/>
      <c r="W47" s="1498"/>
      <c r="X47" s="1498"/>
      <c r="Y47" s="1498"/>
      <c r="Z47" s="1498"/>
      <c r="AB47" s="17" t="e">
        <f>-AB46/SA_SAMO</f>
        <v>#N/A</v>
      </c>
      <c r="AC47" s="17" t="s">
        <v>464</v>
      </c>
      <c r="AD47" s="17" t="e">
        <f>ROUND(AB47,0)</f>
        <v>#N/A</v>
      </c>
    </row>
    <row r="48" spans="1:37" x14ac:dyDescent="0.2">
      <c r="A48" s="1164"/>
      <c r="B48" s="1258" t="s">
        <v>1639</v>
      </c>
      <c r="C48" s="1164"/>
      <c r="D48" s="1164"/>
      <c r="E48" s="1164"/>
      <c r="F48" s="1164"/>
      <c r="G48" s="1164"/>
      <c r="H48" s="1164"/>
      <c r="I48" s="1164"/>
      <c r="J48" s="1164"/>
      <c r="K48" s="1164"/>
      <c r="L48" s="1164"/>
      <c r="M48" s="1164"/>
      <c r="N48" s="1164"/>
      <c r="O48" s="1498"/>
      <c r="P48" s="1498"/>
      <c r="Q48" s="1498"/>
      <c r="R48" s="1498"/>
      <c r="S48" s="1498"/>
      <c r="T48" s="1498"/>
      <c r="U48" s="1498"/>
      <c r="V48" s="1498"/>
      <c r="W48" s="1498"/>
      <c r="X48" s="1498"/>
      <c r="Y48" s="1498"/>
      <c r="Z48" s="1498"/>
    </row>
    <row r="49" spans="1:34" x14ac:dyDescent="0.2">
      <c r="A49" s="1164"/>
      <c r="B49" s="1258"/>
      <c r="C49" s="1164"/>
      <c r="D49" s="1164"/>
      <c r="E49" s="1164"/>
      <c r="F49" s="1164"/>
      <c r="G49" s="1164"/>
      <c r="H49" s="1164"/>
      <c r="I49" s="1164"/>
      <c r="J49" s="1164"/>
      <c r="K49" s="1164"/>
      <c r="L49" s="1164"/>
      <c r="M49" s="1164"/>
      <c r="N49" s="1164"/>
      <c r="O49" s="1498"/>
      <c r="P49" s="1498"/>
      <c r="Q49" s="1498"/>
      <c r="R49" s="1498"/>
      <c r="S49" s="1498"/>
      <c r="T49" s="1498"/>
      <c r="U49" s="1498"/>
      <c r="V49" s="1498"/>
      <c r="W49" s="1498"/>
      <c r="X49" s="1498"/>
      <c r="Y49" s="1498"/>
      <c r="Z49" s="1498"/>
    </row>
    <row r="50" spans="1:34" x14ac:dyDescent="0.2">
      <c r="A50" s="1164"/>
      <c r="B50" s="1795" t="s">
        <v>1745</v>
      </c>
      <c r="C50" s="1164"/>
      <c r="D50" s="1164"/>
      <c r="E50" s="1164"/>
      <c r="F50" s="1164"/>
      <c r="G50" s="1164"/>
      <c r="H50" s="1164"/>
      <c r="I50" s="1164"/>
      <c r="J50" s="1432"/>
      <c r="K50" s="1164"/>
      <c r="L50" s="1164"/>
      <c r="M50" s="1164"/>
      <c r="N50" s="1164"/>
      <c r="O50" s="1498"/>
      <c r="P50" s="1498"/>
      <c r="Q50" s="1498"/>
      <c r="R50" s="1498"/>
      <c r="S50" s="1498"/>
      <c r="T50" s="1498"/>
      <c r="U50" s="1498"/>
      <c r="V50" s="1498"/>
      <c r="W50" s="1498"/>
      <c r="X50" s="1498"/>
      <c r="Y50" s="1498"/>
      <c r="Z50" s="1498"/>
      <c r="AA50" s="1336" t="s">
        <v>1578</v>
      </c>
      <c r="AB50" s="1433">
        <v>1</v>
      </c>
      <c r="AC50" s="1333" t="s">
        <v>979</v>
      </c>
      <c r="AD50" s="1334"/>
      <c r="AE50" s="1335"/>
      <c r="AF50" s="1337" t="str">
        <f>IF(ISBLANK(Priorite_Epand1),"",IF(Priorite_Epand1=1,"cultures","prairies"))</f>
        <v>cultures</v>
      </c>
    </row>
    <row r="51" spans="1:34" ht="5.0999999999999996" customHeight="1" x14ac:dyDescent="0.2">
      <c r="A51" s="1164"/>
      <c r="B51" s="1331"/>
      <c r="C51" s="1164"/>
      <c r="D51" s="1164"/>
      <c r="E51" s="1164"/>
      <c r="F51" s="1164"/>
      <c r="G51" s="1164"/>
      <c r="H51" s="1164"/>
      <c r="I51" s="1164"/>
      <c r="J51" s="1164"/>
      <c r="K51" s="1164"/>
      <c r="L51" s="1164"/>
      <c r="M51" s="1164"/>
      <c r="N51" s="1164"/>
      <c r="O51" s="1498"/>
      <c r="P51" s="1498"/>
      <c r="Q51" s="1498"/>
      <c r="R51" s="1498"/>
      <c r="S51" s="1498"/>
      <c r="T51" s="1498"/>
      <c r="U51" s="1498"/>
      <c r="V51" s="1498"/>
      <c r="W51" s="1498"/>
      <c r="X51" s="1498"/>
      <c r="Y51" s="1498"/>
      <c r="Z51" s="1498"/>
    </row>
    <row r="52" spans="1:34" ht="12.75" customHeight="1" x14ac:dyDescent="0.2">
      <c r="A52" s="1164"/>
      <c r="B52" s="1331"/>
      <c r="C52" s="1164"/>
      <c r="D52" s="1256"/>
      <c r="E52" s="1164"/>
      <c r="F52" s="1164"/>
      <c r="G52" s="1164"/>
      <c r="H52" s="1256"/>
      <c r="I52" s="1256" t="str">
        <f>IF(ISBLANK(Priorite_Epand1),"","Quantité maximale épandable sur les "&amp;AF50&amp;" -------&gt;")</f>
        <v>Quantité maximale épandable sur les cultures -------&gt;</v>
      </c>
      <c r="J52" s="1287">
        <f>IF(ISBLANK(Priorite_Epand1),"",IF(Priorite_Epand1=1,AD63-TotNImportPra,AD63))</f>
        <v>4582.5449503130094</v>
      </c>
      <c r="K52" s="1483" t="s">
        <v>2349</v>
      </c>
      <c r="L52" s="1164"/>
      <c r="M52" s="1164"/>
      <c r="N52" s="1164"/>
      <c r="O52" s="1806"/>
      <c r="P52" s="1498"/>
      <c r="Q52" s="1498"/>
      <c r="R52" s="1498"/>
      <c r="S52" s="1498"/>
      <c r="T52" s="1498"/>
      <c r="U52" s="1498"/>
      <c r="V52" s="1498"/>
      <c r="W52" s="1498"/>
      <c r="X52" s="1498"/>
      <c r="Y52" s="1498"/>
      <c r="Z52" s="1498"/>
    </row>
    <row r="53" spans="1:34" ht="5.0999999999999996" customHeight="1" x14ac:dyDescent="0.2">
      <c r="A53" s="1164"/>
      <c r="B53" s="1331"/>
      <c r="C53" s="1164"/>
      <c r="D53" s="1256"/>
      <c r="E53" s="1164"/>
      <c r="F53" s="1164"/>
      <c r="G53" s="1164"/>
      <c r="H53" s="1164"/>
      <c r="I53" s="1164"/>
      <c r="J53" s="1164"/>
      <c r="K53" s="1164"/>
      <c r="L53" s="1164"/>
      <c r="M53" s="1164"/>
      <c r="N53" s="1164"/>
      <c r="O53" s="1498"/>
      <c r="P53" s="1498"/>
      <c r="Q53" s="1498"/>
      <c r="R53" s="1498"/>
      <c r="S53" s="1498"/>
      <c r="T53" s="1498"/>
      <c r="U53" s="1498"/>
      <c r="V53" s="1498"/>
      <c r="W53" s="1498"/>
      <c r="X53" s="1498"/>
      <c r="Y53" s="1498"/>
      <c r="Z53" s="1498"/>
    </row>
    <row r="54" spans="1:34" x14ac:dyDescent="0.2">
      <c r="A54" s="1164"/>
      <c r="B54" s="1263" t="str">
        <f>IF(ISBLANK(Priorite_Epand1),"",IF(Priorite_Epand1=1,"Cultures","Prairies"))</f>
        <v>Cultures</v>
      </c>
      <c r="C54" s="1164"/>
      <c r="D54" s="1164"/>
      <c r="E54" s="1164"/>
      <c r="F54" s="1260" t="s">
        <v>863</v>
      </c>
      <c r="G54" s="1260"/>
      <c r="H54" s="1570" t="s">
        <v>2406</v>
      </c>
      <c r="I54" s="1260"/>
      <c r="J54" s="1260"/>
      <c r="K54" s="1164"/>
      <c r="L54" s="1164"/>
      <c r="M54" s="1164"/>
      <c r="N54" s="1164"/>
      <c r="O54" s="1498"/>
      <c r="P54" s="1498"/>
      <c r="Q54" s="1498"/>
      <c r="R54" s="1498"/>
      <c r="S54" s="1498"/>
      <c r="T54" s="1498"/>
      <c r="U54" s="1498"/>
      <c r="V54" s="1498"/>
      <c r="W54" s="1498"/>
      <c r="X54" s="1498"/>
      <c r="Y54" s="1498"/>
      <c r="Z54" s="1498"/>
      <c r="AB54" s="1266" t="s">
        <v>678</v>
      </c>
      <c r="AC54" s="17"/>
      <c r="AD54" t="s">
        <v>671</v>
      </c>
      <c r="AG54" s="17" t="s">
        <v>682</v>
      </c>
      <c r="AH54" s="17" t="s">
        <v>683</v>
      </c>
    </row>
    <row r="55" spans="1:34" x14ac:dyDescent="0.2">
      <c r="A55" s="1164"/>
      <c r="B55" s="1263" t="str">
        <f>IF(ISBLANK(Priorite_Epand1),"",IF(Priorite_Epand1=1,"  ● Céréales 1","  ● permanentes"))</f>
        <v xml:space="preserve">  ● Céréales 1</v>
      </c>
      <c r="C55" s="1164"/>
      <c r="D55" s="1164"/>
      <c r="E55" s="1164"/>
      <c r="F55" s="1261">
        <v>5</v>
      </c>
      <c r="G55" s="1260"/>
      <c r="H55" s="1261">
        <v>40</v>
      </c>
      <c r="I55" s="1260"/>
      <c r="J55" s="1287">
        <f>F55*H55</f>
        <v>200</v>
      </c>
      <c r="K55" s="1164" t="s">
        <v>220</v>
      </c>
      <c r="L55" s="1164"/>
      <c r="M55" s="3162" t="str">
        <f>IF(J52-J61&lt;0,"Le total que vous prévoyez d'épandre est supérieur à la quantité maximale épandable sur les "&amp;AF50&amp;". Vous devez réviser vos doses ou vos surfaces d'épandage ","")</f>
        <v/>
      </c>
      <c r="N55" s="3162"/>
      <c r="O55" s="1498"/>
      <c r="P55" s="1498"/>
      <c r="Q55" s="1498"/>
      <c r="R55" s="1498"/>
      <c r="S55" s="1498"/>
      <c r="T55" s="1498"/>
      <c r="U55" s="1498"/>
      <c r="V55" s="1498"/>
      <c r="W55" s="1498"/>
      <c r="X55" s="1498"/>
      <c r="Y55" s="1498"/>
      <c r="Z55" s="1498"/>
      <c r="AB55" s="17"/>
      <c r="AC55" s="1267" t="s">
        <v>679</v>
      </c>
      <c r="AD55" s="872">
        <f>Paramètres!AE3</f>
        <v>70</v>
      </c>
      <c r="AF55" s="17" t="str">
        <f>B55</f>
        <v xml:space="preserve">  ● Céréales 1</v>
      </c>
      <c r="AG55" s="17">
        <f>D55</f>
        <v>0</v>
      </c>
      <c r="AH55" s="17">
        <f>AD$55*AG55</f>
        <v>0</v>
      </c>
    </row>
    <row r="56" spans="1:34" x14ac:dyDescent="0.2">
      <c r="A56" s="1164"/>
      <c r="B56" s="1263" t="str">
        <f>IF(ISBLANK(Priorite_Epand1),"",IF(Priorite_Epand1=1,"  ● Céréales 2","  ● temporaires ou longue durée 1"))</f>
        <v xml:space="preserve">  ● Céréales 2</v>
      </c>
      <c r="C56" s="1164"/>
      <c r="D56" s="1164"/>
      <c r="E56" s="1164"/>
      <c r="F56" s="1261"/>
      <c r="G56" s="1260"/>
      <c r="H56" s="1261"/>
      <c r="I56" s="1260"/>
      <c r="J56" s="1287">
        <f>F56*H56</f>
        <v>0</v>
      </c>
      <c r="K56" s="1164" t="s">
        <v>220</v>
      </c>
      <c r="L56" s="1338"/>
      <c r="M56" s="3162"/>
      <c r="N56" s="3162"/>
      <c r="O56" s="1498"/>
      <c r="P56" s="1498"/>
      <c r="Q56" s="1498"/>
      <c r="R56" s="1498"/>
      <c r="S56" s="1498"/>
      <c r="T56" s="1498"/>
      <c r="U56" s="1498"/>
      <c r="V56" s="1498"/>
      <c r="W56" s="1498"/>
      <c r="X56" s="1498"/>
      <c r="Y56" s="1498"/>
      <c r="Z56" s="1498"/>
      <c r="AB56" s="17"/>
      <c r="AC56" s="1267" t="s">
        <v>679</v>
      </c>
      <c r="AD56" s="345">
        <f>AD55</f>
        <v>70</v>
      </c>
      <c r="AF56" s="17" t="str">
        <f>B56</f>
        <v xml:space="preserve">  ● Céréales 2</v>
      </c>
      <c r="AG56" s="17">
        <f>D56</f>
        <v>0</v>
      </c>
      <c r="AH56" s="17">
        <f>AD$56*AG56</f>
        <v>0</v>
      </c>
    </row>
    <row r="57" spans="1:34" x14ac:dyDescent="0.2">
      <c r="A57" s="1164"/>
      <c r="B57" s="1263" t="str">
        <f>IF(ISBLANK(Priorite_Epand1),"",IF(Priorite_Epand1=1,"  ● Maïs","  ● association 1"))</f>
        <v xml:space="preserve">  ● Maïs</v>
      </c>
      <c r="C57" s="1164"/>
      <c r="D57" s="1164"/>
      <c r="E57" s="1164"/>
      <c r="F57" s="1680">
        <v>15</v>
      </c>
      <c r="G57" s="1260"/>
      <c r="H57" s="1261">
        <v>70</v>
      </c>
      <c r="I57" s="1260"/>
      <c r="J57" s="1287">
        <f>F57*H57</f>
        <v>1050</v>
      </c>
      <c r="K57" s="1164" t="s">
        <v>220</v>
      </c>
      <c r="L57" s="1338"/>
      <c r="M57" s="3162"/>
      <c r="N57" s="3162"/>
      <c r="O57" s="1498"/>
      <c r="P57" s="1498"/>
      <c r="Q57" s="1498"/>
      <c r="R57" s="1498"/>
      <c r="S57" s="1498"/>
      <c r="T57" s="1498"/>
      <c r="U57" s="1498"/>
      <c r="V57" s="1498"/>
      <c r="W57" s="1498"/>
      <c r="X57" s="1498"/>
      <c r="Y57" s="1498"/>
      <c r="Z57" s="1498"/>
      <c r="AB57" s="17"/>
      <c r="AC57" s="1267" t="s">
        <v>680</v>
      </c>
      <c r="AD57" s="872">
        <f>Paramètres!AE4</f>
        <v>80</v>
      </c>
      <c r="AF57" s="17" t="str">
        <f>B57</f>
        <v xml:space="preserve">  ● Maïs</v>
      </c>
      <c r="AG57" s="17">
        <f>D57</f>
        <v>0</v>
      </c>
      <c r="AH57" s="17">
        <f>AD$57*AG57</f>
        <v>0</v>
      </c>
    </row>
    <row r="58" spans="1:34" x14ac:dyDescent="0.2">
      <c r="A58" s="1164"/>
      <c r="B58" s="1263" t="str">
        <f>IF(ISBLANK(Priorite_Epand1),"",IF(Priorite_Epand1=1,"  ● Autre culture 1","  ● temporaires ou longue durée 2"))</f>
        <v xml:space="preserve">  ● Autre culture 1</v>
      </c>
      <c r="C58" s="1164"/>
      <c r="D58" s="1164"/>
      <c r="E58" s="1164"/>
      <c r="F58" s="1261"/>
      <c r="G58" s="1260"/>
      <c r="H58" s="1261"/>
      <c r="I58" s="1260"/>
      <c r="J58" s="1287">
        <f>F58*H58</f>
        <v>0</v>
      </c>
      <c r="K58" s="1164" t="str">
        <f>IF($AB$99=2,""," kg N")</f>
        <v xml:space="preserve"> kg N</v>
      </c>
      <c r="L58" s="1338"/>
      <c r="M58" s="3162"/>
      <c r="N58" s="3162"/>
      <c r="O58" s="1498"/>
      <c r="P58" s="1498"/>
      <c r="Q58" s="1498"/>
      <c r="R58" s="1498"/>
      <c r="S58" s="1498"/>
      <c r="T58" s="1498"/>
      <c r="U58" s="1498"/>
      <c r="V58" s="1498"/>
      <c r="W58" s="1498"/>
      <c r="X58" s="1498"/>
      <c r="Y58" s="1498"/>
      <c r="Z58" s="1498"/>
      <c r="AB58" s="17"/>
      <c r="AC58" s="1267" t="s">
        <v>681</v>
      </c>
      <c r="AD58" s="872">
        <f>Paramètres!AE5</f>
        <v>75</v>
      </c>
      <c r="AF58" s="17" t="str">
        <f>B58</f>
        <v xml:space="preserve">  ● Autre culture 1</v>
      </c>
      <c r="AG58" s="17">
        <f>D58</f>
        <v>0</v>
      </c>
      <c r="AH58" s="17">
        <f>AD$58*AG58</f>
        <v>0</v>
      </c>
    </row>
    <row r="59" spans="1:34" x14ac:dyDescent="0.2">
      <c r="A59" s="1164"/>
      <c r="B59" s="1263" t="str">
        <f>IF(ISBLANK(Priorite_Epand1),"",IF(Priorite_Epand1=1,"  ● Autre culture 2","  ● association 2"))</f>
        <v xml:space="preserve">  ● Autre culture 2</v>
      </c>
      <c r="C59" s="1164"/>
      <c r="D59" s="1164"/>
      <c r="E59" s="1164"/>
      <c r="F59" s="1261"/>
      <c r="G59" s="1260"/>
      <c r="H59" s="1261"/>
      <c r="I59" s="1260"/>
      <c r="J59" s="1287">
        <f>F59*H59</f>
        <v>0</v>
      </c>
      <c r="K59" s="1164" t="str">
        <f>IF($AB$99=2,""," kg N")</f>
        <v xml:space="preserve"> kg N</v>
      </c>
      <c r="L59" s="1338"/>
      <c r="M59" s="3162"/>
      <c r="N59" s="3162"/>
      <c r="O59" s="1498"/>
      <c r="P59" s="1498"/>
      <c r="Q59" s="1498"/>
      <c r="R59" s="1498"/>
      <c r="S59" s="1498"/>
      <c r="T59" s="1498"/>
      <c r="U59" s="1498"/>
      <c r="V59" s="1498"/>
      <c r="W59" s="1498"/>
      <c r="X59" s="1498"/>
      <c r="Y59" s="1498"/>
      <c r="Z59" s="1498"/>
      <c r="AB59" s="17"/>
      <c r="AC59" s="1267" t="s">
        <v>681</v>
      </c>
      <c r="AD59" s="1268">
        <f>AD58</f>
        <v>75</v>
      </c>
      <c r="AF59" s="17" t="str">
        <f>B59</f>
        <v xml:space="preserve">  ● Autre culture 2</v>
      </c>
      <c r="AG59" s="17">
        <f>D59</f>
        <v>0</v>
      </c>
      <c r="AH59" s="17">
        <f>AD$59*AG59</f>
        <v>0</v>
      </c>
    </row>
    <row r="60" spans="1:34" x14ac:dyDescent="0.2">
      <c r="A60" s="1164"/>
      <c r="B60" s="1164"/>
      <c r="C60" s="1164"/>
      <c r="D60" s="1164"/>
      <c r="E60" s="1164"/>
      <c r="F60" s="1164"/>
      <c r="G60" s="1164"/>
      <c r="H60" s="1164"/>
      <c r="I60" s="1164"/>
      <c r="J60" s="1164"/>
      <c r="K60" s="1164"/>
      <c r="L60" s="1164"/>
      <c r="M60" s="3162"/>
      <c r="N60" s="3162"/>
      <c r="O60" s="1498"/>
      <c r="P60" s="1498"/>
      <c r="Q60" s="1498"/>
      <c r="R60" s="1498"/>
      <c r="S60" s="1498"/>
      <c r="T60" s="1498"/>
      <c r="U60" s="1498"/>
      <c r="V60" s="1498"/>
      <c r="W60" s="1498"/>
      <c r="X60" s="1498"/>
      <c r="Y60" s="1498"/>
      <c r="Z60" s="1498"/>
    </row>
    <row r="61" spans="1:34" ht="12.75" customHeight="1" x14ac:dyDescent="0.2">
      <c r="A61" s="1164"/>
      <c r="B61" s="1263"/>
      <c r="C61" s="1164"/>
      <c r="D61" s="1164"/>
      <c r="E61" s="1164"/>
      <c r="F61" s="1164"/>
      <c r="G61" s="1164"/>
      <c r="H61" s="1164"/>
      <c r="I61" s="1264" t="str">
        <f>IF(ISBLANK(Priorite_Epand1),"",IF(Priorite_Epand1=1," Total annuel N sur cultures épandables : ","Total annuel N sur prairies épandables : "))</f>
        <v xml:space="preserve"> Total annuel N sur cultures épandables : </v>
      </c>
      <c r="J61" s="1287">
        <f>SUM(J55:J59)</f>
        <v>1250</v>
      </c>
      <c r="K61" s="1164" t="s">
        <v>689</v>
      </c>
      <c r="L61" s="1164"/>
      <c r="M61" s="3162"/>
      <c r="N61" s="3162"/>
      <c r="O61" s="1498"/>
      <c r="P61" s="1498"/>
      <c r="Q61" s="1498"/>
      <c r="R61" s="1498"/>
      <c r="S61" s="1498"/>
      <c r="T61" s="1498"/>
      <c r="U61" s="1498"/>
      <c r="V61" s="1498"/>
      <c r="W61" s="1498"/>
      <c r="X61" s="1498"/>
      <c r="Y61" s="1498"/>
      <c r="Z61" s="1498"/>
      <c r="AC61" s="1267" t="s">
        <v>677</v>
      </c>
      <c r="AD61" s="872">
        <f>Paramètres!AE6</f>
        <v>65</v>
      </c>
      <c r="AF61" s="1269" t="s">
        <v>684</v>
      </c>
      <c r="AG61" s="17">
        <f>D61</f>
        <v>0</v>
      </c>
      <c r="AH61" s="1270">
        <f>AD$61*AG61</f>
        <v>0</v>
      </c>
    </row>
    <row r="62" spans="1:34" x14ac:dyDescent="0.2">
      <c r="A62" s="1164"/>
      <c r="B62" s="1989"/>
      <c r="C62" s="1989"/>
      <c r="D62" s="1164"/>
      <c r="E62" s="1164"/>
      <c r="F62" s="1164"/>
      <c r="G62" s="1164"/>
      <c r="H62" s="1164"/>
      <c r="I62" s="1264" t="str">
        <f>IF(ISBLANK(Priorite_Epand1),"",IF(Priorite_Epand1=1," Reste à épandre sur les prairies épandables ou à exporter si manque de prairies : ","Reste à épandre sur les cultures épandables : "))</f>
        <v xml:space="preserve"> Reste à épandre sur les prairies épandables ou à exporter si manque de prairies : </v>
      </c>
      <c r="J62" s="1287">
        <f>IF(AD63-J61&lt;0,0,AD63-J61)</f>
        <v>3332.5449503130094</v>
      </c>
      <c r="K62" s="1164" t="s">
        <v>689</v>
      </c>
      <c r="L62" s="1164"/>
      <c r="M62" s="3162"/>
      <c r="N62" s="3162"/>
      <c r="O62" s="1498"/>
      <c r="P62" s="1498"/>
      <c r="Q62" s="1498"/>
      <c r="R62" s="1498"/>
      <c r="S62" s="1498"/>
      <c r="T62" s="1498"/>
      <c r="U62" s="1498"/>
      <c r="V62" s="1498"/>
      <c r="W62" s="1498"/>
      <c r="X62" s="1498"/>
      <c r="Y62" s="1498"/>
      <c r="Z62" s="1498"/>
      <c r="AF62" s="1768" t="s">
        <v>244</v>
      </c>
      <c r="AG62" s="17"/>
      <c r="AH62" s="17">
        <f>SUM(AH55:AH61)</f>
        <v>0</v>
      </c>
    </row>
    <row r="63" spans="1:34" x14ac:dyDescent="0.2">
      <c r="A63" s="1164"/>
      <c r="B63" s="1989"/>
      <c r="C63" s="1989"/>
      <c r="D63" s="1164"/>
      <c r="E63" s="1164"/>
      <c r="F63" s="1164"/>
      <c r="G63" s="1164"/>
      <c r="H63" s="1164"/>
      <c r="I63" s="1264" t="s">
        <v>1366</v>
      </c>
      <c r="J63" s="1287">
        <f>IF(Priorite_Epand1=2,J62/SA_CultEpand,IF(Priorite_Epand1=1,J62/SA_PraiEpand,"ERR"))</f>
        <v>64.087402890634792</v>
      </c>
      <c r="K63" s="1164" t="str">
        <f>IF(Priorite_Epand1=2," kg N par ha de cultures épandables", IF(Priorite_Epand1=1," kg N par ha de prairies épandables",""))</f>
        <v xml:space="preserve"> kg N par ha de prairies épandables</v>
      </c>
      <c r="L63" s="1164"/>
      <c r="M63" s="1164"/>
      <c r="N63" s="1164"/>
      <c r="O63" s="1498"/>
      <c r="P63" s="1498"/>
      <c r="Q63" s="1498"/>
      <c r="R63" s="1498"/>
      <c r="S63" s="1498"/>
      <c r="T63" s="1498"/>
      <c r="U63" s="1498"/>
      <c r="V63" s="1498"/>
      <c r="W63" s="1498"/>
      <c r="X63" s="1498"/>
      <c r="Y63" s="1498"/>
      <c r="Z63" s="1498"/>
      <c r="AB63" s="1521" t="s">
        <v>1581</v>
      </c>
      <c r="AC63" s="1521" t="s">
        <v>1580</v>
      </c>
      <c r="AD63" s="1736">
        <f>VLOOKUP(NonExced,AB64:AC66,2,FALSE)</f>
        <v>4582.5449503130094</v>
      </c>
    </row>
    <row r="64" spans="1:34" ht="12.75" customHeight="1" x14ac:dyDescent="0.2">
      <c r="A64" s="1164"/>
      <c r="B64" s="1989"/>
      <c r="C64" s="1989"/>
      <c r="D64" s="1164"/>
      <c r="E64" s="1164"/>
      <c r="F64" s="1164"/>
      <c r="G64" s="1164"/>
      <c r="H64" s="1164"/>
      <c r="I64" s="1264"/>
      <c r="J64" s="1264"/>
      <c r="K64" s="1483" t="str">
        <f>IF(Priorite_Epand1=1," (Cette dose s'ajoute","")</f>
        <v xml:space="preserve"> (Cette dose s'ajoute</v>
      </c>
      <c r="L64" s="1164"/>
      <c r="M64" s="1164"/>
      <c r="N64" s="1164"/>
      <c r="O64" s="1498"/>
      <c r="P64" s="1498"/>
      <c r="Q64" s="1498"/>
      <c r="R64" s="1498"/>
      <c r="S64" s="1498"/>
      <c r="T64" s="1498"/>
      <c r="U64" s="1498"/>
      <c r="V64" s="1498"/>
      <c r="W64" s="1498"/>
      <c r="X64" s="1498"/>
      <c r="Y64" s="1498"/>
      <c r="Z64" s="1498"/>
      <c r="AB64" s="1369">
        <v>1</v>
      </c>
      <c r="AC64" s="1769">
        <f>F22</f>
        <v>4582.5449503130094</v>
      </c>
    </row>
    <row r="65" spans="1:36" x14ac:dyDescent="0.2">
      <c r="A65" s="1164"/>
      <c r="B65" s="1164"/>
      <c r="C65" s="1164"/>
      <c r="D65" s="1570" t="s">
        <v>2040</v>
      </c>
      <c r="E65" s="1260"/>
      <c r="F65" s="1570" t="s">
        <v>2041</v>
      </c>
      <c r="G65" s="1164"/>
      <c r="H65" s="1164"/>
      <c r="I65" s="1264"/>
      <c r="J65" s="1264"/>
      <c r="K65" s="1483" t="str">
        <f>IF(Priorite_Epand1=1,"  aux rejets directs au pâturage)","")</f>
        <v xml:space="preserve">  aux rejets directs au pâturage)</v>
      </c>
      <c r="L65" s="1164"/>
      <c r="M65" s="1164"/>
      <c r="N65" s="1164"/>
      <c r="O65" s="1498"/>
      <c r="P65" s="1498"/>
      <c r="Q65" s="1498"/>
      <c r="R65" s="1498"/>
      <c r="S65" s="1498"/>
      <c r="T65" s="1498"/>
      <c r="U65" s="1498"/>
      <c r="V65" s="1498"/>
      <c r="W65" s="1498"/>
      <c r="X65" s="1498"/>
      <c r="Y65" s="1498"/>
      <c r="Z65" s="1498"/>
      <c r="AB65" s="1369">
        <v>2</v>
      </c>
      <c r="AC65" s="1769">
        <f>F34</f>
        <v>4582.5449503130094</v>
      </c>
    </row>
    <row r="66" spans="1:36" ht="5.0999999999999996" customHeight="1" x14ac:dyDescent="0.2">
      <c r="A66" s="1164"/>
      <c r="B66" s="1164"/>
      <c r="C66" s="1164"/>
      <c r="D66" s="1164"/>
      <c r="E66" s="1164"/>
      <c r="F66" s="1164"/>
      <c r="G66" s="1164"/>
      <c r="H66" s="1164"/>
      <c r="I66" s="1164"/>
      <c r="J66" s="1164"/>
      <c r="K66" s="1164"/>
      <c r="L66" s="1164"/>
      <c r="M66" s="1767"/>
      <c r="N66" s="1767"/>
      <c r="O66" s="1498"/>
      <c r="P66" s="1498"/>
      <c r="Q66" s="1498"/>
      <c r="R66" s="1498"/>
      <c r="S66" s="1498"/>
      <c r="T66" s="1498"/>
      <c r="U66" s="1498"/>
      <c r="V66" s="1498"/>
      <c r="W66" s="1498"/>
      <c r="X66" s="1498"/>
      <c r="Y66" s="1498"/>
      <c r="Z66" s="1498"/>
      <c r="AB66" s="1369">
        <v>3</v>
      </c>
      <c r="AC66" s="1769">
        <f>F44</f>
        <v>4582.5449503130094</v>
      </c>
    </row>
    <row r="67" spans="1:36" ht="53.1" customHeight="1" x14ac:dyDescent="0.2">
      <c r="A67" s="1164"/>
      <c r="B67" s="3165" t="s">
        <v>2243</v>
      </c>
      <c r="C67" s="3030"/>
      <c r="D67" s="2142" t="s">
        <v>742</v>
      </c>
      <c r="E67" s="1164"/>
      <c r="F67" s="2142" t="s">
        <v>2201</v>
      </c>
      <c r="G67" s="1164"/>
      <c r="H67" s="1164"/>
      <c r="I67" s="2015" t="s">
        <v>1366</v>
      </c>
      <c r="J67" s="2021">
        <f>J63/AG67</f>
        <v>11.652255071024507</v>
      </c>
      <c r="K67" s="4" t="str">
        <f>" "&amp;$AH$67&amp;" par ha de "&amp;IF(Priorite_Epand1=2,"cultures épandables", IF(Priorite_Epand1=1,"prairies épandables",""))</f>
        <v xml:space="preserve"> tonnes par ha de prairies épandables</v>
      </c>
      <c r="L67" s="1164"/>
      <c r="M67" s="2016"/>
      <c r="N67" s="2016"/>
      <c r="O67" s="1498"/>
      <c r="P67" s="1498"/>
      <c r="Q67" s="1498"/>
      <c r="R67" s="1498"/>
      <c r="S67" s="1498"/>
      <c r="T67" s="1498"/>
      <c r="U67" s="1498"/>
      <c r="V67" s="1498"/>
      <c r="W67" s="1498"/>
      <c r="X67" s="1498"/>
      <c r="Y67" s="1498"/>
      <c r="Z67" s="1498"/>
      <c r="AG67" s="1337">
        <f>VLOOKUP(Type1_1&amp;Sous_type1_1,Ferti_Cultures!$AY$73:$AZ$122,2,FALSE)</f>
        <v>5.5</v>
      </c>
      <c r="AH67" s="1337" t="str">
        <f>VLOOKUP(Type1_1&amp;Sous_type1_1,Ferti_Cultures!$AY$73:$BA$122,3,FALSE)</f>
        <v>tonnes</v>
      </c>
    </row>
    <row r="68" spans="1:36" ht="53.1" customHeight="1" x14ac:dyDescent="0.2">
      <c r="A68" s="3165" t="s">
        <v>2244</v>
      </c>
      <c r="B68" s="3165"/>
      <c r="C68" s="3030"/>
      <c r="D68" s="2020"/>
      <c r="E68" s="1164"/>
      <c r="F68" s="2020"/>
      <c r="G68" s="1164"/>
      <c r="H68" s="1164"/>
      <c r="I68" s="2116" t="s">
        <v>1366</v>
      </c>
      <c r="J68" s="2021" t="e">
        <f>J63/AG68</f>
        <v>#N/A</v>
      </c>
      <c r="K68" s="4" t="e">
        <f>" "&amp;$AH$68&amp;" par ha de "&amp;IF(Priorite_Epand1=2,"cultures épandables", IF(Priorite_Epand1=1,"prairies épandables",""))</f>
        <v>#N/A</v>
      </c>
      <c r="L68" s="1164"/>
      <c r="M68" s="2117"/>
      <c r="N68" s="2117"/>
      <c r="O68" s="1498"/>
      <c r="P68" s="1498"/>
      <c r="Q68" s="1498"/>
      <c r="R68" s="1498"/>
      <c r="S68" s="1498"/>
      <c r="T68" s="1498"/>
      <c r="U68" s="1498"/>
      <c r="V68" s="1498"/>
      <c r="W68" s="1498"/>
      <c r="X68" s="1498"/>
      <c r="Y68" s="1498"/>
      <c r="Z68" s="1498"/>
      <c r="AG68" s="1337" t="e">
        <f>VLOOKUP(Type2_1&amp;Sous_type2_1,Ferti_Cultures!$AY$73:$AZ$122,2,FALSE)</f>
        <v>#N/A</v>
      </c>
      <c r="AH68" s="1337" t="e">
        <f>VLOOKUP(Type2_1&amp;Sous_type2_1,Ferti_Cultures!$AY$73:$BA$122,3,FALSE)</f>
        <v>#N/A</v>
      </c>
    </row>
    <row r="69" spans="1:36" ht="30" customHeight="1" x14ac:dyDescent="0.2">
      <c r="A69" s="3151" t="s">
        <v>2245</v>
      </c>
      <c r="B69" s="3151"/>
      <c r="C69" s="3151"/>
      <c r="D69" s="3151"/>
      <c r="E69" s="3151"/>
      <c r="F69" s="3151"/>
      <c r="G69" s="2119"/>
      <c r="H69" s="2119"/>
      <c r="I69" s="2124"/>
      <c r="J69" s="2125">
        <f>0.01*J67*AF69</f>
        <v>5.8261275355122537</v>
      </c>
      <c r="K69" s="3005" t="str">
        <f>$AH$67&amp;" par ha de "&amp;Type1_1&amp;Sous_type1_1&amp;" fournissant "&amp;ROUND(J69*AG67,0)&amp;" kg N par ha"</f>
        <v>tonnes par ha de Fumiers de bovins mixtes fournissant 32 kg N par ha</v>
      </c>
      <c r="L69" s="3005"/>
      <c r="M69" s="3005"/>
      <c r="N69" s="3005"/>
      <c r="O69" s="1498"/>
      <c r="P69" s="1498"/>
      <c r="Q69" s="1498"/>
      <c r="R69" s="1498"/>
      <c r="S69" s="1498"/>
      <c r="T69" s="1498"/>
      <c r="U69" s="1498"/>
      <c r="V69" s="1498"/>
      <c r="W69" s="1498"/>
      <c r="X69" s="1498"/>
      <c r="Y69" s="1498"/>
      <c r="Z69" s="1498"/>
      <c r="AF69" s="2122">
        <v>50</v>
      </c>
      <c r="AG69" s="2121" t="s">
        <v>2246</v>
      </c>
    </row>
    <row r="70" spans="1:36" ht="25.5" customHeight="1" x14ac:dyDescent="0.2">
      <c r="A70" s="3151"/>
      <c r="B70" s="3151"/>
      <c r="C70" s="3151"/>
      <c r="D70" s="3151"/>
      <c r="E70" s="3151"/>
      <c r="F70" s="3151"/>
      <c r="G70" s="2119"/>
      <c r="H70" s="2119"/>
      <c r="I70" s="2119"/>
      <c r="J70" s="2021" t="e">
        <f>(J63-J69*AG67)/AG68</f>
        <v>#N/A</v>
      </c>
      <c r="K70" s="3005" t="e">
        <f>$AH$68&amp;" par ha de "&amp;Type2_1&amp;Sous_type2_1&amp;" fournissant "&amp;ROUND(J70*AG68,0)&amp;" kg N par ha"</f>
        <v>#N/A</v>
      </c>
      <c r="L70" s="3005"/>
      <c r="M70" s="3005"/>
      <c r="N70" s="3005"/>
      <c r="O70" s="1498"/>
      <c r="P70" s="1498"/>
      <c r="Q70" s="1498"/>
      <c r="R70" s="1498"/>
      <c r="S70" s="1498"/>
      <c r="T70" s="1498"/>
      <c r="U70" s="1498"/>
      <c r="V70" s="1498"/>
      <c r="W70" s="1498"/>
      <c r="X70" s="1498"/>
      <c r="Y70" s="1498"/>
      <c r="Z70" s="1498"/>
    </row>
    <row r="71" spans="1:36" ht="5.0999999999999996" customHeight="1" x14ac:dyDescent="0.2">
      <c r="A71" s="2120"/>
      <c r="B71" s="2120"/>
      <c r="C71" s="2120"/>
      <c r="D71" s="2120"/>
      <c r="E71" s="2120"/>
      <c r="F71" s="2120"/>
      <c r="G71" s="2119"/>
      <c r="H71" s="2119"/>
      <c r="I71" s="2119"/>
      <c r="J71" s="2119"/>
      <c r="K71" s="2119"/>
      <c r="L71" s="2119"/>
      <c r="M71" s="2119"/>
      <c r="N71" s="2119"/>
      <c r="O71" s="1498"/>
      <c r="P71" s="1498"/>
      <c r="Q71" s="1498"/>
      <c r="R71" s="1498"/>
      <c r="S71" s="1498"/>
      <c r="T71" s="1498"/>
      <c r="U71" s="1498"/>
      <c r="V71" s="1498"/>
      <c r="W71" s="1498"/>
      <c r="X71" s="1498"/>
      <c r="Y71" s="1498"/>
      <c r="Z71" s="1498"/>
    </row>
    <row r="72" spans="1:36" x14ac:dyDescent="0.2">
      <c r="A72" s="1164"/>
      <c r="B72" s="1233" t="str">
        <f>IF(ISBLANK(Priorite_Epand1),"",IF(Priorite_Epand1=2,"Cultures",""))</f>
        <v/>
      </c>
      <c r="C72" s="1164"/>
      <c r="D72" s="1164"/>
      <c r="E72" s="1164"/>
      <c r="F72" s="1260" t="str">
        <f>IF(Priorite_Epand1=2,"Surface (ha)","")</f>
        <v/>
      </c>
      <c r="G72" s="1164"/>
      <c r="H72" s="1260" t="str">
        <f>IF(Priorite_Epand1=2,"Dose brute N / ha","")</f>
        <v/>
      </c>
      <c r="I72" s="1164"/>
      <c r="J72" s="1260" t="str">
        <f>IF($AB$99=2,"Kg N totaux","")</f>
        <v/>
      </c>
      <c r="K72" s="1264"/>
      <c r="L72" s="1164"/>
      <c r="M72" s="1164"/>
      <c r="N72" s="1164"/>
      <c r="O72" s="1498"/>
      <c r="P72" s="1498"/>
      <c r="Q72" s="1498"/>
      <c r="R72" s="1498"/>
      <c r="S72" s="1498"/>
      <c r="T72" s="1498"/>
      <c r="U72" s="1498"/>
      <c r="V72" s="1498"/>
      <c r="W72" s="1498"/>
      <c r="X72" s="1498"/>
      <c r="Y72" s="1498"/>
      <c r="Z72" s="1498"/>
      <c r="AF72" s="1337">
        <v>2</v>
      </c>
      <c r="AG72" s="1337" t="str">
        <f>IF(ISBLANK(HLOOKUP($D$67,Ferti_Cultures!$BC$71:$BH$93,AF72,FALSE)),"",HLOOKUP($D$67,Ferti_Cultures!$BC$71:$BH$93,AF72,FALSE))</f>
        <v xml:space="preserve"> de bovins mixtes</v>
      </c>
      <c r="AH72" s="1337" t="e">
        <f>IF(ISBLANK(HLOOKUP($D$68,Ferti_Cultures!$BC$71:$BH$93,AF72,FALSE)),"",HLOOKUP($D$68,Ferti_Cultures!$BC$71:$BH$93,AF72,FALSE))</f>
        <v>#N/A</v>
      </c>
      <c r="AI72" s="1736" t="str">
        <f>IF(ISBLANK(HLOOKUP($D$67,Ferti_Cultures!$BC$71:$BH$93,AF72,FALSE)),"",HLOOKUP($D$67,Ferti_Cultures!$BC$94:$BH$116,AF72,FALSE))</f>
        <v>tonnes</v>
      </c>
      <c r="AJ72" s="1736" t="e">
        <f>IF(ISBLANK(HLOOKUP($D$68,Ferti_Cultures!$BC$71:$BH$93,AF72,FALSE)),"",HLOOKUP($D$68,Ferti_Cultures!$BC$94:$BH$116,AF72,FALSE))</f>
        <v>#N/A</v>
      </c>
    </row>
    <row r="73" spans="1:36" x14ac:dyDescent="0.2">
      <c r="A73" s="1164"/>
      <c r="B73" s="1233" t="str">
        <f>IF(ISBLANK(Priorite_Epand1),"",IF(Priorite_Epand1=2,"  ● Céréales 1",""))</f>
        <v/>
      </c>
      <c r="C73" s="1164"/>
      <c r="D73" s="1164"/>
      <c r="E73" s="1164"/>
      <c r="F73" s="1261"/>
      <c r="G73" s="1164"/>
      <c r="H73" s="1261"/>
      <c r="I73" s="1164"/>
      <c r="J73" s="1287">
        <f>F73*H73</f>
        <v>0</v>
      </c>
      <c r="K73" s="1164" t="str">
        <f>IF(Priorite_Epand1=2," kg N","")</f>
        <v/>
      </c>
      <c r="L73" s="1483"/>
      <c r="M73" s="3162" t="str">
        <f>IF(Priorite_Epand1&lt;&gt;2,"",IF(J62&lt;0.95*J78,"Le total que vous prévoyez d'épandre sur cultures est supérieur au disponible. Vous devez réviser vos doses ou vos surfaces d'épandage",IF(J62&gt;1.05*J78,"Reprendre le calcul en exportant davantage","")))</f>
        <v/>
      </c>
      <c r="N73" s="3162"/>
      <c r="O73" s="1498"/>
      <c r="P73" s="1498"/>
      <c r="Q73" s="1498"/>
      <c r="R73" s="1498"/>
      <c r="S73" s="1498"/>
      <c r="T73" s="1498"/>
      <c r="U73" s="1498"/>
      <c r="V73" s="1498"/>
      <c r="W73" s="1498"/>
      <c r="X73" s="1498"/>
      <c r="Y73" s="1498"/>
      <c r="Z73" s="1498"/>
      <c r="AF73" s="1337">
        <v>3</v>
      </c>
      <c r="AG73" s="1337" t="str">
        <f>IF(ISBLANK(HLOOKUP($D$67,Ferti_Cultures!$BC$71:$BH$93,AF73,FALSE)),"",HLOOKUP($D$67,Ferti_Cultures!$BC$71:$BH$93,AF73,FALSE))</f>
        <v xml:space="preserve"> de bovins à l'engrais</v>
      </c>
      <c r="AH73" s="1337" t="e">
        <f>IF(ISBLANK(HLOOKUP($D$68,Ferti_Cultures!$BC$71:$BH$93,AF73,FALSE)),"",HLOOKUP($D$68,Ferti_Cultures!$BC$71:$BH$93,AF73,FALSE))</f>
        <v>#N/A</v>
      </c>
      <c r="AI73" s="1736" t="str">
        <f>IF(ISBLANK(HLOOKUP($D$67,Ferti_Cultures!$BC$71:$BH$93,AF73,FALSE)),"",HLOOKUP($D$67,Ferti_Cultures!$BC$94:$BH$116,AF73,FALSE))</f>
        <v>tonnes</v>
      </c>
      <c r="AJ73" s="1736" t="e">
        <f>IF(ISBLANK(HLOOKUP($D$68,Ferti_Cultures!$BC$71:$BH$93,AF73,FALSE)),"",HLOOKUP($D$68,Ferti_Cultures!$BC$94:$BH$116,AF73,FALSE))</f>
        <v>#N/A</v>
      </c>
    </row>
    <row r="74" spans="1:36" x14ac:dyDescent="0.2">
      <c r="A74" s="1164"/>
      <c r="B74" s="1233" t="str">
        <f>IF(ISBLANK(Priorite_Epand1),"",IF(Priorite_Epand1=2,"  ● Céréales 2",""))</f>
        <v/>
      </c>
      <c r="C74" s="1164"/>
      <c r="D74" s="1164"/>
      <c r="E74" s="1164"/>
      <c r="F74" s="1261"/>
      <c r="G74" s="1164"/>
      <c r="H74" s="1261"/>
      <c r="I74" s="1164"/>
      <c r="J74" s="1287">
        <f>F74*H74</f>
        <v>0</v>
      </c>
      <c r="K74" s="1164" t="str">
        <f>IF(Priorite_Epand1=2," kg N","")</f>
        <v/>
      </c>
      <c r="L74" s="1164"/>
      <c r="M74" s="3162"/>
      <c r="N74" s="3162"/>
      <c r="O74" s="1498"/>
      <c r="P74" s="1498"/>
      <c r="Q74" s="1498"/>
      <c r="R74" s="1498"/>
      <c r="S74" s="1498"/>
      <c r="T74" s="1498"/>
      <c r="U74" s="1498"/>
      <c r="V74" s="1498"/>
      <c r="W74" s="1498"/>
      <c r="X74" s="1498"/>
      <c r="Y74" s="1498"/>
      <c r="Z74" s="1498"/>
      <c r="AF74" s="1337">
        <v>4</v>
      </c>
      <c r="AG74" s="1337" t="str">
        <f>IF(ISBLANK(HLOOKUP($D$67,Ferti_Cultures!$BC$71:$BH$93,AF74,FALSE)),"",HLOOKUP($D$67,Ferti_Cultures!$BC$71:$BH$93,AF74,FALSE))</f>
        <v xml:space="preserve"> d'ovins</v>
      </c>
      <c r="AH74" s="1337" t="e">
        <f>IF(ISBLANK(HLOOKUP($D$68,Ferti_Cultures!$BC$71:$BH$93,AF74,FALSE)),"",HLOOKUP($D$68,Ferti_Cultures!$BC$71:$BH$93,AF74,FALSE))</f>
        <v>#N/A</v>
      </c>
      <c r="AI74" s="1736" t="str">
        <f>IF(ISBLANK(HLOOKUP($D$67,Ferti_Cultures!$BC$71:$BH$93,AF74,FALSE)),"",HLOOKUP($D$67,Ferti_Cultures!$BC$94:$BH$116,AF74,FALSE))</f>
        <v>tonnes</v>
      </c>
      <c r="AJ74" s="1736" t="e">
        <f>IF(ISBLANK(HLOOKUP($D$68,Ferti_Cultures!$BC$71:$BH$93,AF74,FALSE)),"",HLOOKUP($D$68,Ferti_Cultures!$BC$94:$BH$116,AF74,FALSE))</f>
        <v>#N/A</v>
      </c>
    </row>
    <row r="75" spans="1:36" x14ac:dyDescent="0.2">
      <c r="A75" s="1164"/>
      <c r="B75" s="1233" t="str">
        <f>IF(ISBLANK(Priorite_Epand1),"",IF(Priorite_Epand1=2,"  ● Maïs",""))</f>
        <v/>
      </c>
      <c r="C75" s="1164"/>
      <c r="D75" s="1164"/>
      <c r="E75" s="1164"/>
      <c r="F75" s="1261"/>
      <c r="G75" s="1164"/>
      <c r="H75" s="1261"/>
      <c r="I75" s="1164"/>
      <c r="J75" s="1287">
        <f>F75*H75</f>
        <v>0</v>
      </c>
      <c r="K75" s="1164" t="str">
        <f>IF(Priorite_Epand1=2," kg N","")</f>
        <v/>
      </c>
      <c r="L75" s="1164"/>
      <c r="M75" s="3162"/>
      <c r="N75" s="3162"/>
      <c r="O75" s="1498"/>
      <c r="P75" s="1498"/>
      <c r="Q75" s="1498"/>
      <c r="R75" s="1498"/>
      <c r="S75" s="1498"/>
      <c r="T75" s="1498"/>
      <c r="U75" s="1498"/>
      <c r="V75" s="1498"/>
      <c r="W75" s="1498"/>
      <c r="X75" s="1498"/>
      <c r="Y75" s="1498"/>
      <c r="Z75" s="1498"/>
      <c r="AF75" s="1337">
        <v>5</v>
      </c>
      <c r="AG75" s="1337" t="str">
        <f>IF(ISBLANK(HLOOKUP($D$67,Ferti_Cultures!$BC$71:$BH$93,AF75,FALSE)),"",HLOOKUP($D$67,Ferti_Cultures!$BC$71:$BH$93,AF75,FALSE))</f>
        <v xml:space="preserve"> de porc sur paille</v>
      </c>
      <c r="AH75" s="1337" t="e">
        <f>IF(ISBLANK(HLOOKUP($D$68,Ferti_Cultures!$BC$71:$BH$93,AF75,FALSE)),"",HLOOKUP($D$68,Ferti_Cultures!$BC$71:$BH$93,AF75,FALSE))</f>
        <v>#N/A</v>
      </c>
      <c r="AI75" s="1736" t="str">
        <f>IF(ISBLANK(HLOOKUP($D$67,Ferti_Cultures!$BC$71:$BH$93,AF75,FALSE)),"",HLOOKUP($D$67,Ferti_Cultures!$BC$94:$BH$116,AF75,FALSE))</f>
        <v>tonnes</v>
      </c>
      <c r="AJ75" s="1736" t="e">
        <f>IF(ISBLANK(HLOOKUP($D$68,Ferti_Cultures!$BC$71:$BH$93,AF75,FALSE)),"",HLOOKUP($D$68,Ferti_Cultures!$BC$94:$BH$116,AF75,FALSE))</f>
        <v>#N/A</v>
      </c>
    </row>
    <row r="76" spans="1:36" x14ac:dyDescent="0.2">
      <c r="A76" s="1164"/>
      <c r="B76" s="1233" t="str">
        <f>IF(ISBLANK(Priorite_Epand1),"",IF(Priorite_Epand1=2,"  ● Autre culture 1",""))</f>
        <v/>
      </c>
      <c r="C76" s="1164"/>
      <c r="D76" s="1164"/>
      <c r="E76" s="1164"/>
      <c r="F76" s="1261"/>
      <c r="G76" s="1164"/>
      <c r="H76" s="1261"/>
      <c r="I76" s="1164"/>
      <c r="J76" s="1287">
        <f>F76*H76</f>
        <v>0</v>
      </c>
      <c r="K76" s="1164" t="str">
        <f>IF(Priorite_Epand1=2," kg N","")</f>
        <v/>
      </c>
      <c r="L76" s="1164"/>
      <c r="M76" s="3162"/>
      <c r="N76" s="3162"/>
      <c r="O76" s="1498"/>
      <c r="P76" s="1498"/>
      <c r="Q76" s="1498"/>
      <c r="R76" s="1498"/>
      <c r="S76" s="1498"/>
      <c r="T76" s="1498"/>
      <c r="U76" s="1498"/>
      <c r="V76" s="1498"/>
      <c r="W76" s="1498"/>
      <c r="X76" s="1498"/>
      <c r="Y76" s="1498"/>
      <c r="Z76" s="1498"/>
      <c r="AF76" s="1337">
        <v>6</v>
      </c>
      <c r="AG76" s="1337" t="str">
        <f>IF(ISBLANK(HLOOKUP($D$67,Ferti_Cultures!$BC$71:$BH$93,AF76,FALSE)),"",HLOOKUP($D$67,Ferti_Cultures!$BC$71:$BH$93,AF76,FALSE))</f>
        <v xml:space="preserve"> de porc sur sciure ou copeaux</v>
      </c>
      <c r="AH76" s="1337" t="e">
        <f>IF(ISBLANK(HLOOKUP($D$68,Ferti_Cultures!$BC$71:$BH$93,AF76,FALSE)),"",HLOOKUP($D$68,Ferti_Cultures!$BC$71:$BH$93,AF76,FALSE))</f>
        <v>#N/A</v>
      </c>
      <c r="AI76" s="1736" t="str">
        <f>IF(ISBLANK(HLOOKUP($D$67,Ferti_Cultures!$BC$71:$BH$93,AF76,FALSE)),"",HLOOKUP($D$67,Ferti_Cultures!$BC$94:$BH$116,AF76,FALSE))</f>
        <v>tonnes</v>
      </c>
      <c r="AJ76" s="1736" t="e">
        <f>IF(ISBLANK(HLOOKUP($D$68,Ferti_Cultures!$BC$71:$BH$93,AF76,FALSE)),"",HLOOKUP($D$68,Ferti_Cultures!$BC$94:$BH$116,AF76,FALSE))</f>
        <v>#N/A</v>
      </c>
    </row>
    <row r="77" spans="1:36" x14ac:dyDescent="0.2">
      <c r="A77" s="1164"/>
      <c r="B77" s="1233" t="str">
        <f>IF(ISBLANK(Priorite_Epand1),"",IF(Priorite_Epand1=2,"  ● Autre culture 2",""))</f>
        <v/>
      </c>
      <c r="C77" s="1164"/>
      <c r="D77" s="1164"/>
      <c r="E77" s="1164"/>
      <c r="F77" s="1261"/>
      <c r="G77" s="1164"/>
      <c r="H77" s="1261"/>
      <c r="I77" s="1164"/>
      <c r="J77" s="1287">
        <f>F77*H77</f>
        <v>0</v>
      </c>
      <c r="K77" s="1164" t="str">
        <f>IF(Priorite_Epand1=2," kg N","")</f>
        <v/>
      </c>
      <c r="L77" s="1164"/>
      <c r="M77" s="3162"/>
      <c r="N77" s="3162"/>
      <c r="O77" s="1498"/>
      <c r="P77" s="1498"/>
      <c r="Q77" s="1498"/>
      <c r="R77" s="1498"/>
      <c r="S77" s="1498"/>
      <c r="T77" s="1498"/>
      <c r="U77" s="1498"/>
      <c r="V77" s="1498"/>
      <c r="W77" s="1498"/>
      <c r="X77" s="1498"/>
      <c r="Y77" s="1498"/>
      <c r="Z77" s="1498"/>
      <c r="AF77" s="1337">
        <v>7</v>
      </c>
      <c r="AG77" s="1337" t="str">
        <f>IF(ISBLANK(HLOOKUP($D$67,Ferti_Cultures!$BC$71:$BH$93,AF77,FALSE)),"",HLOOKUP($D$67,Ferti_Cultures!$BC$71:$BH$93,AF77,FALSE))</f>
        <v xml:space="preserve"> de poules pondeuses humides sortie stockage</v>
      </c>
      <c r="AH77" s="1337" t="e">
        <f>IF(ISBLANK(HLOOKUP($D$68,Ferti_Cultures!$BC$71:$BH$93,AF77,FALSE)),"",HLOOKUP($D$68,Ferti_Cultures!$BC$71:$BH$93,AF77,FALSE))</f>
        <v>#N/A</v>
      </c>
      <c r="AI77" s="1736" t="str">
        <f>IF(ISBLANK(HLOOKUP($D$67,Ferti_Cultures!$BC$71:$BH$93,AF77,FALSE)),"",HLOOKUP($D$67,Ferti_Cultures!$BC$94:$BH$116,AF77,FALSE))</f>
        <v>tonnes</v>
      </c>
      <c r="AJ77" s="1736" t="e">
        <f>IF(ISBLANK(HLOOKUP($D$68,Ferti_Cultures!$BC$71:$BH$93,AF77,FALSE)),"",HLOOKUP($D$68,Ferti_Cultures!$BC$94:$BH$116,AF77,FALSE))</f>
        <v>#N/A</v>
      </c>
    </row>
    <row r="78" spans="1:36" x14ac:dyDescent="0.2">
      <c r="A78" s="1164"/>
      <c r="B78" s="1164"/>
      <c r="C78" s="1164"/>
      <c r="D78" s="1164"/>
      <c r="E78" s="1164"/>
      <c r="F78" s="1164"/>
      <c r="G78" s="1164"/>
      <c r="H78" s="1164"/>
      <c r="I78" s="1322" t="str">
        <f>IF(Priorite_Epand1=2,"Total ","")</f>
        <v/>
      </c>
      <c r="J78" s="1323">
        <f>SUM(J73:J77)</f>
        <v>0</v>
      </c>
      <c r="K78" s="1164" t="str">
        <f>IF(Priorite_Epand1=2," kg N totaux","")</f>
        <v/>
      </c>
      <c r="L78" s="1164"/>
      <c r="M78" s="3162"/>
      <c r="N78" s="3162"/>
      <c r="O78" s="1498"/>
      <c r="P78" s="1498"/>
      <c r="Q78" s="1498"/>
      <c r="R78" s="1498"/>
      <c r="S78" s="1498"/>
      <c r="T78" s="1498"/>
      <c r="U78" s="1498"/>
      <c r="V78" s="1498"/>
      <c r="W78" s="1498"/>
      <c r="X78" s="1498"/>
      <c r="Y78" s="1498"/>
      <c r="Z78" s="1498"/>
      <c r="AF78" s="1337">
        <v>8</v>
      </c>
      <c r="AG78" s="1337" t="str">
        <f>IF(ISBLANK(HLOOKUP($D$67,Ferti_Cultures!$BC$71:$BH$93,AF78,FALSE)),"",HLOOKUP($D$67,Ferti_Cultures!$BC$71:$BH$93,AF78,FALSE))</f>
        <v xml:space="preserve"> de poules pondeuses séchés en hangar</v>
      </c>
      <c r="AH78" s="1337" t="e">
        <f>IF(ISBLANK(HLOOKUP($D$68,Ferti_Cultures!$BC$71:$BH$93,AF78,FALSE)),"",HLOOKUP($D$68,Ferti_Cultures!$BC$71:$BH$93,AF78,FALSE))</f>
        <v>#N/A</v>
      </c>
      <c r="AI78" s="1736" t="str">
        <f>IF(ISBLANK(HLOOKUP($D$67,Ferti_Cultures!$BC$71:$BH$93,AF78,FALSE)),"",HLOOKUP($D$67,Ferti_Cultures!$BC$94:$BH$116,AF78,FALSE))</f>
        <v>tonnes</v>
      </c>
      <c r="AJ78" s="1736" t="e">
        <f>IF(ISBLANK(HLOOKUP($D$68,Ferti_Cultures!$BC$71:$BH$93,AF78,FALSE)),"",HLOOKUP($D$68,Ferti_Cultures!$BC$94:$BH$116,AF78,FALSE))</f>
        <v>#N/A</v>
      </c>
    </row>
    <row r="79" spans="1:36" x14ac:dyDescent="0.2">
      <c r="A79" s="1164"/>
      <c r="B79" s="1164"/>
      <c r="C79" s="1164"/>
      <c r="D79" s="1164"/>
      <c r="E79" s="1164"/>
      <c r="F79" s="1164"/>
      <c r="G79" s="1164"/>
      <c r="H79" s="1164"/>
      <c r="I79" s="1164"/>
      <c r="J79" s="1164"/>
      <c r="K79" s="1164"/>
      <c r="L79" s="1164"/>
      <c r="M79" s="1338"/>
      <c r="N79" s="1338"/>
      <c r="O79" s="1498"/>
      <c r="P79" s="1498"/>
      <c r="Q79" s="1498"/>
      <c r="R79" s="1498"/>
      <c r="S79" s="1498"/>
      <c r="T79" s="1498"/>
      <c r="U79" s="1498"/>
      <c r="V79" s="1498"/>
      <c r="W79" s="1498"/>
      <c r="X79" s="1498"/>
      <c r="Y79" s="1498"/>
      <c r="Z79" s="1498"/>
      <c r="AF79" s="1337">
        <v>9</v>
      </c>
      <c r="AG79" s="1337" t="str">
        <f>IF(ISBLANK(HLOOKUP($D$67,Ferti_Cultures!$BC$71:$BH$93,AF79,FALSE)),"",HLOOKUP($D$67,Ferti_Cultures!$BC$71:$BH$93,AF79,FALSE))</f>
        <v xml:space="preserve"> de poules pondeuses stockés en fosse profonde</v>
      </c>
      <c r="AH79" s="1337" t="e">
        <f>IF(ISBLANK(HLOOKUP($D$68,Ferti_Cultures!$BC$71:$BH$93,AF79,FALSE)),"",HLOOKUP($D$68,Ferti_Cultures!$BC$71:$BH$93,AF79,FALSE))</f>
        <v>#N/A</v>
      </c>
      <c r="AI79" s="1736" t="str">
        <f>IF(ISBLANK(HLOOKUP($D$67,Ferti_Cultures!$BC$71:$BH$93,AF79,FALSE)),"",HLOOKUP($D$67,Ferti_Cultures!$BC$94:$BH$116,AF79,FALSE))</f>
        <v>tonnes</v>
      </c>
      <c r="AJ79" s="1736" t="e">
        <f>IF(ISBLANK(HLOOKUP($D$68,Ferti_Cultures!$BC$71:$BH$93,AF79,FALSE)),"",HLOOKUP($D$68,Ferti_Cultures!$BC$94:$BH$116,AF79,FALSE))</f>
        <v>#N/A</v>
      </c>
    </row>
    <row r="80" spans="1:36" ht="12.75" customHeight="1" x14ac:dyDescent="0.2">
      <c r="A80" s="1164"/>
      <c r="B80" s="1164"/>
      <c r="C80" s="1677" t="s">
        <v>1418</v>
      </c>
      <c r="D80" s="1677"/>
      <c r="E80" s="1677"/>
      <c r="F80" s="1677"/>
      <c r="G80" s="1677"/>
      <c r="H80" s="1677"/>
      <c r="I80" s="3140" t="s">
        <v>2384</v>
      </c>
      <c r="J80" s="3140"/>
      <c r="K80" s="3140"/>
      <c r="L80" s="3140"/>
      <c r="M80" s="3140"/>
      <c r="N80" s="3151" t="s">
        <v>2020</v>
      </c>
      <c r="O80" s="3151"/>
      <c r="P80" s="3151"/>
      <c r="Q80" s="1498"/>
      <c r="R80" s="1498"/>
      <c r="S80" s="1498"/>
      <c r="T80" s="1498"/>
      <c r="U80" s="1498"/>
      <c r="V80" s="1498"/>
      <c r="W80" s="1498"/>
      <c r="X80" s="1498"/>
      <c r="Y80" s="1498"/>
      <c r="Z80" s="1498"/>
      <c r="AF80" s="1337">
        <v>10</v>
      </c>
      <c r="AG80" s="1337" t="str">
        <f>IF(ISBLANK(HLOOKUP($D$67,Ferti_Cultures!$BC$71:$BH$93,AF80,FALSE)),"",HLOOKUP($D$67,Ferti_Cultures!$BC$71:$BH$93,AF80,FALSE))</f>
        <v xml:space="preserve"> de poules pondeuses séchés à 80% de MS</v>
      </c>
      <c r="AH80" s="1337" t="e">
        <f>IF(ISBLANK(HLOOKUP($D$68,Ferti_Cultures!$BC$71:$BH$93,AF80,FALSE)),"",HLOOKUP($D$68,Ferti_Cultures!$BC$71:$BH$93,AF80,FALSE))</f>
        <v>#N/A</v>
      </c>
      <c r="AI80" s="1736" t="str">
        <f>IF(ISBLANK(HLOOKUP($D$67,Ferti_Cultures!$BC$71:$BH$93,AF80,FALSE)),"",HLOOKUP($D$67,Ferti_Cultures!$BC$94:$BH$116,AF80,FALSE))</f>
        <v>tonnes</v>
      </c>
      <c r="AJ80" s="1736" t="e">
        <f>IF(ISBLANK(HLOOKUP($D$68,Ferti_Cultures!$BC$71:$BH$93,AF80,FALSE)),"",HLOOKUP($D$68,Ferti_Cultures!$BC$94:$BH$116,AF80,FALSE))</f>
        <v>#N/A</v>
      </c>
    </row>
    <row r="81" spans="1:36" x14ac:dyDescent="0.2">
      <c r="A81" s="1164"/>
      <c r="B81" s="1164"/>
      <c r="C81" s="1677" t="s">
        <v>1089</v>
      </c>
      <c r="D81" s="1677"/>
      <c r="E81" s="1677" t="s">
        <v>1093</v>
      </c>
      <c r="F81" s="1677"/>
      <c r="G81" s="1677"/>
      <c r="H81" s="1677"/>
      <c r="I81" s="3140"/>
      <c r="J81" s="3140"/>
      <c r="K81" s="3140"/>
      <c r="L81" s="3140"/>
      <c r="M81" s="3140"/>
      <c r="N81" s="3151"/>
      <c r="O81" s="3151"/>
      <c r="P81" s="3151"/>
      <c r="Q81" s="1498"/>
      <c r="R81" s="1498"/>
      <c r="S81" s="1498"/>
      <c r="T81" s="1498"/>
      <c r="U81" s="1498"/>
      <c r="V81" s="1498"/>
      <c r="W81" s="1498"/>
      <c r="X81" s="1498"/>
      <c r="Y81" s="1498"/>
      <c r="Z81" s="1498"/>
      <c r="AF81" s="1337">
        <v>11</v>
      </c>
      <c r="AG81" s="1337" t="str">
        <f>IF(ISBLANK(HLOOKUP($D$67,Ferti_Cultures!$BC$71:$BH$93,AF81,FALSE)),"",HLOOKUP($D$67,Ferti_Cultures!$BC$71:$BH$93,AF81,FALSE))</f>
        <v xml:space="preserve"> de poulets standard humides sortie stockage</v>
      </c>
      <c r="AH81" s="1337" t="e">
        <f>IF(ISBLANK(HLOOKUP($D$68,Ferti_Cultures!$BC$71:$BH$93,AF81,FALSE)),"",HLOOKUP($D$68,Ferti_Cultures!$BC$71:$BH$93,AF81,FALSE))</f>
        <v>#N/A</v>
      </c>
      <c r="AI81" s="1736" t="str">
        <f>IF(ISBLANK(HLOOKUP($D$67,Ferti_Cultures!$BC$71:$BH$93,AF81,FALSE)),"",HLOOKUP($D$67,Ferti_Cultures!$BC$94:$BH$116,AF81,FALSE))</f>
        <v>tonnes</v>
      </c>
      <c r="AJ81" s="1736" t="e">
        <f>IF(ISBLANK(HLOOKUP($D$68,Ferti_Cultures!$BC$71:$BH$93,AF81,FALSE)),"",HLOOKUP($D$68,Ferti_Cultures!$BC$94:$BH$116,AF81,FALSE))</f>
        <v>#N/A</v>
      </c>
    </row>
    <row r="82" spans="1:36" x14ac:dyDescent="0.2">
      <c r="A82" s="1164"/>
      <c r="B82" s="1164"/>
      <c r="C82" s="1677" t="s">
        <v>1092</v>
      </c>
      <c r="D82" s="1677"/>
      <c r="E82" s="1677" t="s">
        <v>1304</v>
      </c>
      <c r="F82" s="1677"/>
      <c r="G82" s="1677"/>
      <c r="H82" s="1677"/>
      <c r="I82" s="3140"/>
      <c r="J82" s="3140"/>
      <c r="K82" s="3140"/>
      <c r="L82" s="3140"/>
      <c r="M82" s="3140"/>
      <c r="N82" s="3151"/>
      <c r="O82" s="3151"/>
      <c r="P82" s="3151"/>
      <c r="Q82" s="1498"/>
      <c r="R82" s="1498"/>
      <c r="S82" s="1498"/>
      <c r="T82" s="1498"/>
      <c r="U82" s="1498"/>
      <c r="V82" s="1498"/>
      <c r="W82" s="1498"/>
      <c r="X82" s="1498"/>
      <c r="Y82" s="1498"/>
      <c r="Z82" s="1498"/>
      <c r="AF82" s="1337">
        <v>12</v>
      </c>
      <c r="AG82" s="1337" t="str">
        <f>IF(ISBLANK(HLOOKUP($D$67,Ferti_Cultures!$BC$71:$BH$93,AF82,FALSE)),"",HLOOKUP($D$67,Ferti_Cultures!$BC$71:$BH$93,AF82,FALSE))</f>
        <v xml:space="preserve"> de poulets standard séchés en hangar</v>
      </c>
      <c r="AH82" s="1337" t="e">
        <f>IF(ISBLANK(HLOOKUP($D$68,Ferti_Cultures!$BC$71:$BH$93,AF82,FALSE)),"",HLOOKUP($D$68,Ferti_Cultures!$BC$71:$BH$93,AF82,FALSE))</f>
        <v>#N/A</v>
      </c>
      <c r="AI82" s="1736" t="str">
        <f>IF(ISBLANK(HLOOKUP($D$67,Ferti_Cultures!$BC$71:$BH$93,AF82,FALSE)),"",HLOOKUP($D$67,Ferti_Cultures!$BC$94:$BH$116,AF82,FALSE))</f>
        <v>tonnes</v>
      </c>
      <c r="AJ82" s="1736" t="e">
        <f>IF(ISBLANK(HLOOKUP($D$68,Ferti_Cultures!$BC$71:$BH$93,AF82,FALSE)),"",HLOOKUP($D$68,Ferti_Cultures!$BC$94:$BH$116,AF82,FALSE))</f>
        <v>#N/A</v>
      </c>
    </row>
    <row r="83" spans="1:36" x14ac:dyDescent="0.2">
      <c r="A83" s="1164"/>
      <c r="B83" s="1164"/>
      <c r="C83" s="1677" t="s">
        <v>1090</v>
      </c>
      <c r="D83" s="1677"/>
      <c r="E83" s="1677" t="s">
        <v>1094</v>
      </c>
      <c r="F83" s="1677"/>
      <c r="G83" s="1677"/>
      <c r="H83" s="1677"/>
      <c r="I83" s="3140"/>
      <c r="J83" s="3140"/>
      <c r="K83" s="3140"/>
      <c r="L83" s="3140"/>
      <c r="M83" s="3140"/>
      <c r="N83" s="3151"/>
      <c r="O83" s="3151"/>
      <c r="P83" s="3151"/>
      <c r="Q83" s="1498"/>
      <c r="R83" s="1498"/>
      <c r="S83" s="1498"/>
      <c r="T83" s="1498"/>
      <c r="U83" s="1498"/>
      <c r="V83" s="1498"/>
      <c r="W83" s="1498"/>
      <c r="X83" s="1498"/>
      <c r="Y83" s="1498"/>
      <c r="Z83" s="1498"/>
      <c r="AF83" s="1337">
        <v>13</v>
      </c>
      <c r="AG83" s="1337" t="str">
        <f>IF(ISBLANK(HLOOKUP($D$67,Ferti_Cultures!$BC$71:$BH$93,AF83,FALSE)),"",HLOOKUP($D$67,Ferti_Cultures!$BC$71:$BH$93,AF83,FALSE))</f>
        <v xml:space="preserve"> de poulets standard humides</v>
      </c>
      <c r="AH83" s="1337" t="e">
        <f>IF(ISBLANK(HLOOKUP($D$68,Ferti_Cultures!$BC$71:$BH$93,AF83,FALSE)),"",HLOOKUP($D$68,Ferti_Cultures!$BC$71:$BH$93,AF83,FALSE))</f>
        <v>#N/A</v>
      </c>
      <c r="AI83" s="1736" t="str">
        <f>IF(ISBLANK(HLOOKUP($D$67,Ferti_Cultures!$BC$71:$BH$93,AF83,FALSE)),"",HLOOKUP($D$67,Ferti_Cultures!$BC$94:$BH$116,AF83,FALSE))</f>
        <v>tonnes</v>
      </c>
      <c r="AJ83" s="1736" t="e">
        <f>IF(ISBLANK(HLOOKUP($D$68,Ferti_Cultures!$BC$71:$BH$93,AF83,FALSE)),"",HLOOKUP($D$68,Ferti_Cultures!$BC$94:$BH$116,AF83,FALSE))</f>
        <v>#N/A</v>
      </c>
    </row>
    <row r="84" spans="1:36" x14ac:dyDescent="0.2">
      <c r="A84" s="1164"/>
      <c r="B84" s="1164"/>
      <c r="C84" s="1677" t="s">
        <v>1091</v>
      </c>
      <c r="D84" s="1677"/>
      <c r="E84" s="1677" t="s">
        <v>2165</v>
      </c>
      <c r="F84" s="1677"/>
      <c r="G84" s="1677"/>
      <c r="H84" s="1677"/>
      <c r="I84" s="3140"/>
      <c r="J84" s="3140"/>
      <c r="K84" s="3140"/>
      <c r="L84" s="3140"/>
      <c r="M84" s="3140"/>
      <c r="N84" s="3151"/>
      <c r="O84" s="3151"/>
      <c r="P84" s="3151"/>
      <c r="Q84" s="1498"/>
      <c r="R84" s="1498"/>
      <c r="S84" s="1498"/>
      <c r="T84" s="1498"/>
      <c r="U84" s="1498"/>
      <c r="V84" s="1498"/>
      <c r="W84" s="1498"/>
      <c r="X84" s="1498"/>
      <c r="Y84" s="1498"/>
      <c r="Z84" s="1498"/>
      <c r="AF84" s="1337">
        <v>14</v>
      </c>
      <c r="AG84" s="1337" t="str">
        <f>IF(ISBLANK(HLOOKUP($D$67,Ferti_Cultures!$BC$71:$BH$93,AF84,FALSE)),"",HLOOKUP($D$67,Ferti_Cultures!$BC$71:$BH$93,AF84,FALSE))</f>
        <v xml:space="preserve"> de poulets label humides sortie stockage</v>
      </c>
      <c r="AH84" s="1337" t="e">
        <f>IF(ISBLANK(HLOOKUP($D$68,Ferti_Cultures!$BC$71:$BH$93,AF84,FALSE)),"",HLOOKUP($D$68,Ferti_Cultures!$BC$71:$BH$93,AF84,FALSE))</f>
        <v>#N/A</v>
      </c>
      <c r="AI84" s="1736" t="str">
        <f>IF(ISBLANK(HLOOKUP($D$67,Ferti_Cultures!$BC$71:$BH$93,AF84,FALSE)),"",HLOOKUP($D$67,Ferti_Cultures!$BC$94:$BH$116,AF84,FALSE))</f>
        <v>tonnes</v>
      </c>
      <c r="AJ84" s="1736" t="e">
        <f>IF(ISBLANK(HLOOKUP($D$68,Ferti_Cultures!$BC$71:$BH$93,AF84,FALSE)),"",HLOOKUP($D$68,Ferti_Cultures!$BC$94:$BH$116,AF84,FALSE))</f>
        <v>#N/A</v>
      </c>
    </row>
    <row r="85" spans="1:36" x14ac:dyDescent="0.2">
      <c r="A85" s="1164"/>
      <c r="B85" s="1164"/>
      <c r="C85" s="1164"/>
      <c r="D85" s="1164"/>
      <c r="E85" s="1164"/>
      <c r="F85" s="1164"/>
      <c r="G85" s="1164"/>
      <c r="H85" s="1164"/>
      <c r="I85" s="1164"/>
      <c r="J85" s="1164"/>
      <c r="K85" s="1164"/>
      <c r="L85" s="1164"/>
      <c r="M85" s="1164"/>
      <c r="N85" s="1338"/>
      <c r="O85" s="1498"/>
      <c r="P85" s="1498"/>
      <c r="Q85" s="1498"/>
      <c r="R85" s="1498"/>
      <c r="S85" s="1498"/>
      <c r="T85" s="1498"/>
      <c r="U85" s="1498"/>
      <c r="V85" s="1498"/>
      <c r="W85" s="1498"/>
      <c r="X85" s="1498"/>
      <c r="Y85" s="1498"/>
      <c r="Z85" s="1498"/>
      <c r="AF85" s="1337">
        <v>15</v>
      </c>
      <c r="AG85" s="1337" t="str">
        <f>IF(ISBLANK(HLOOKUP($D$67,Ferti_Cultures!$BC$71:$BH$93,AF85,FALSE)),"",HLOOKUP($D$67,Ferti_Cultures!$BC$71:$BH$93,AF85,FALSE))</f>
        <v xml:space="preserve"> de poulets label séchés en hangar</v>
      </c>
      <c r="AH85" s="1337" t="e">
        <f>IF(ISBLANK(HLOOKUP($D$68,Ferti_Cultures!$BC$71:$BH$93,AF85,FALSE)),"",HLOOKUP($D$68,Ferti_Cultures!$BC$71:$BH$93,AF85,FALSE))</f>
        <v>#N/A</v>
      </c>
      <c r="AI85" s="1736" t="str">
        <f>IF(ISBLANK(HLOOKUP($D$67,Ferti_Cultures!$BC$71:$BH$93,AF85,FALSE)),"",HLOOKUP($D$67,Ferti_Cultures!$BC$94:$BH$116,AF85,FALSE))</f>
        <v>tonnes</v>
      </c>
      <c r="AJ85" s="1736" t="e">
        <f>IF(ISBLANK(HLOOKUP($D$68,Ferti_Cultures!$BC$71:$BH$93,AF85,FALSE)),"",HLOOKUP($D$68,Ferti_Cultures!$BC$94:$BH$116,AF85,FALSE))</f>
        <v>#N/A</v>
      </c>
    </row>
    <row r="86" spans="1:36" ht="21" customHeight="1" x14ac:dyDescent="0.3">
      <c r="A86" s="1274" t="s">
        <v>1641</v>
      </c>
      <c r="B86" s="1164"/>
      <c r="C86" s="1164"/>
      <c r="D86" s="1164"/>
      <c r="E86" s="1164"/>
      <c r="F86" s="1164"/>
      <c r="G86" s="1164"/>
      <c r="H86" s="1164"/>
      <c r="I86" s="1164"/>
      <c r="J86" s="1164"/>
      <c r="K86" s="1164"/>
      <c r="L86" s="1164"/>
      <c r="M86" s="1164"/>
      <c r="N86" s="1164"/>
      <c r="O86" s="1498"/>
      <c r="P86" s="1498"/>
      <c r="Q86" s="1498"/>
      <c r="R86" s="1498"/>
      <c r="S86" s="1498"/>
      <c r="T86" s="1498"/>
      <c r="U86" s="1498"/>
      <c r="V86" s="1498"/>
      <c r="W86" s="1498"/>
      <c r="X86" s="1498"/>
      <c r="Y86" s="1498"/>
      <c r="Z86" s="1498"/>
      <c r="AF86" s="1337">
        <v>16</v>
      </c>
      <c r="AG86" s="1337" t="str">
        <f>IF(ISBLANK(HLOOKUP($D$67,Ferti_Cultures!$BC$71:$BH$93,AF86,FALSE)),"",HLOOKUP($D$67,Ferti_Cultures!$BC$71:$BH$93,AF86,FALSE))</f>
        <v xml:space="preserve"> de poulets label humides</v>
      </c>
      <c r="AH86" s="1337" t="e">
        <f>IF(ISBLANK(HLOOKUP($D$68,Ferti_Cultures!$BC$71:$BH$93,AF86,FALSE)),"",HLOOKUP($D$68,Ferti_Cultures!$BC$71:$BH$93,AF86,FALSE))</f>
        <v>#N/A</v>
      </c>
      <c r="AI86" s="1736" t="str">
        <f>IF(ISBLANK(HLOOKUP($D$67,Ferti_Cultures!$BC$71:$BH$93,AF86,FALSE)),"",HLOOKUP($D$67,Ferti_Cultures!$BC$94:$BH$116,AF86,FALSE))</f>
        <v>tonnes</v>
      </c>
      <c r="AJ86" s="1736" t="e">
        <f>IF(ISBLANK(HLOOKUP($D$68,Ferti_Cultures!$BC$71:$BH$93,AF86,FALSE)),"",HLOOKUP($D$68,Ferti_Cultures!$BC$94:$BH$116,AF86,FALSE))</f>
        <v>#N/A</v>
      </c>
    </row>
    <row r="87" spans="1:36" x14ac:dyDescent="0.2">
      <c r="A87" s="1164"/>
      <c r="B87" s="1164"/>
      <c r="C87" s="1164"/>
      <c r="D87" s="1164"/>
      <c r="E87" s="1164"/>
      <c r="F87" s="1164"/>
      <c r="G87" s="1164"/>
      <c r="H87" s="1256" t="s">
        <v>1685</v>
      </c>
      <c r="I87" s="1261"/>
      <c r="J87" s="1483" t="s">
        <v>1642</v>
      </c>
      <c r="K87" s="1164"/>
      <c r="L87" s="1164"/>
      <c r="M87" s="1164"/>
      <c r="N87" s="1164"/>
      <c r="O87" s="1498"/>
      <c r="P87" s="1498"/>
      <c r="Q87" s="1498"/>
      <c r="R87" s="1498"/>
      <c r="S87" s="1498"/>
      <c r="T87" s="1498"/>
      <c r="U87" s="1498"/>
      <c r="V87" s="1498"/>
      <c r="W87" s="1498"/>
      <c r="X87" s="1498"/>
      <c r="Y87" s="1498"/>
      <c r="Z87" s="1498"/>
      <c r="AB87" s="713">
        <f>75*(1-SA_SFP_HerbePc)+65*SA_SFP_HerbePc</f>
        <v>67.777777777777771</v>
      </c>
      <c r="AC87" s="17" t="s">
        <v>1030</v>
      </c>
      <c r="AF87" s="1337">
        <v>17</v>
      </c>
      <c r="AG87" s="1337" t="str">
        <f>IF(ISBLANK(HLOOKUP($D$67,Ferti_Cultures!$BC$71:$BH$93,AF87,FALSE)),"",HLOOKUP($D$67,Ferti_Cultures!$BC$71:$BH$93,AF87,FALSE))</f>
        <v xml:space="preserve"> de dindes humides sortie stockage</v>
      </c>
      <c r="AH87" s="1337" t="e">
        <f>IF(ISBLANK(HLOOKUP($D$68,Ferti_Cultures!$BC$71:$BH$93,AF87,FALSE)),"",HLOOKUP($D$68,Ferti_Cultures!$BC$71:$BH$93,AF87,FALSE))</f>
        <v>#N/A</v>
      </c>
      <c r="AI87" s="1736" t="str">
        <f>IF(ISBLANK(HLOOKUP($D$67,Ferti_Cultures!$BC$71:$BH$93,AF87,FALSE)),"",HLOOKUP($D$67,Ferti_Cultures!$BC$94:$BH$116,AF87,FALSE))</f>
        <v>tonnes</v>
      </c>
      <c r="AJ87" s="1736" t="e">
        <f>IF(ISBLANK(HLOOKUP($D$68,Ferti_Cultures!$BC$71:$BH$93,AF87,FALSE)),"",HLOOKUP($D$68,Ferti_Cultures!$BC$94:$BH$116,AF87,FALSE))</f>
        <v>#N/A</v>
      </c>
    </row>
    <row r="88" spans="1:36" x14ac:dyDescent="0.2">
      <c r="A88" s="1164"/>
      <c r="B88" s="1164"/>
      <c r="C88" s="1164"/>
      <c r="D88" s="1256"/>
      <c r="E88" s="1256" t="s">
        <v>455</v>
      </c>
      <c r="F88" s="1287">
        <f>D6-I87</f>
        <v>110.31207100591716</v>
      </c>
      <c r="G88" s="1483" t="s">
        <v>1642</v>
      </c>
      <c r="H88" s="1164"/>
      <c r="I88" s="1164"/>
      <c r="J88" s="1164"/>
      <c r="K88" s="1164"/>
      <c r="L88" s="1164"/>
      <c r="M88" s="1164"/>
      <c r="N88" s="1164"/>
      <c r="O88" s="1498"/>
      <c r="P88" s="1498"/>
      <c r="Q88" s="1498"/>
      <c r="R88" s="1498"/>
      <c r="S88" s="1498"/>
      <c r="T88" s="1498"/>
      <c r="U88" s="1498"/>
      <c r="V88" s="1498"/>
      <c r="W88" s="1498"/>
      <c r="X88" s="1498"/>
      <c r="Y88" s="1498"/>
      <c r="Z88" s="1498"/>
      <c r="AB88" s="1278" t="e">
        <f>H96-AB87</f>
        <v>#N/A</v>
      </c>
      <c r="AC88" s="17" t="s">
        <v>672</v>
      </c>
      <c r="AD88" s="1276" t="e">
        <f>INT(AB88)</f>
        <v>#N/A</v>
      </c>
      <c r="AF88" s="1337">
        <v>18</v>
      </c>
      <c r="AG88" s="1337" t="str">
        <f>IF(ISBLANK(HLOOKUP($D$67,Ferti_Cultures!$BC$71:$BH$93,AF88,FALSE)),"",HLOOKUP($D$67,Ferti_Cultures!$BC$71:$BH$93,AF88,FALSE))</f>
        <v xml:space="preserve"> de dindes séchés en hangar</v>
      </c>
      <c r="AH88" s="1337" t="e">
        <f>IF(ISBLANK(HLOOKUP($D$68,Ferti_Cultures!$BC$71:$BH$93,AF88,FALSE)),"",HLOOKUP($D$68,Ferti_Cultures!$BC$71:$BH$93,AF88,FALSE))</f>
        <v>#N/A</v>
      </c>
      <c r="AI88" s="1736" t="str">
        <f>IF(ISBLANK(HLOOKUP($D$67,Ferti_Cultures!$BC$71:$BH$93,AF88,FALSE)),"",HLOOKUP($D$67,Ferti_Cultures!$BC$94:$BH$116,AF88,FALSE))</f>
        <v>tonnes</v>
      </c>
      <c r="AJ88" s="1736" t="e">
        <f>IF(ISBLANK(HLOOKUP($D$68,Ferti_Cultures!$BC$71:$BH$93,AF88,FALSE)),"",HLOOKUP($D$68,Ferti_Cultures!$BC$94:$BH$116,AF88,FALSE))</f>
        <v>#N/A</v>
      </c>
    </row>
    <row r="89" spans="1:36" x14ac:dyDescent="0.2">
      <c r="A89" s="1164"/>
      <c r="B89" s="1164"/>
      <c r="C89" s="1164"/>
      <c r="D89" s="1164"/>
      <c r="E89" s="1164"/>
      <c r="F89" s="1287">
        <f>F88*SA_SAUnette</f>
        <v>9928.0863905325441</v>
      </c>
      <c r="G89" s="1483" t="s">
        <v>1746</v>
      </c>
      <c r="H89" s="1164"/>
      <c r="I89" s="1164"/>
      <c r="J89" s="1164"/>
      <c r="K89" s="1256" t="s">
        <v>456</v>
      </c>
      <c r="L89" s="1287" t="e">
        <f>F89*VLOOKUP(F91,AI15:AJ39,2,FALSE)</f>
        <v>#N/A</v>
      </c>
      <c r="M89" s="1483" t="s">
        <v>1747</v>
      </c>
      <c r="N89" s="1164"/>
      <c r="O89" s="1498"/>
      <c r="P89" s="1498"/>
      <c r="Q89" s="1498"/>
      <c r="R89" s="1498"/>
      <c r="S89" s="1498"/>
      <c r="T89" s="1498"/>
      <c r="U89" s="1498"/>
      <c r="V89" s="1498"/>
      <c r="W89" s="1498"/>
      <c r="X89" s="1498"/>
      <c r="Y89" s="1498"/>
      <c r="Z89" s="1498"/>
      <c r="AB89" s="17" t="e">
        <f>Objectif-AB88/VLOOKUP(F91,AI15:AJ39,2,FALSE)*SA_SPE/SA_SAUnette</f>
        <v>#N/A</v>
      </c>
      <c r="AC89" s="17" t="s">
        <v>458</v>
      </c>
      <c r="AD89" s="17" t="e">
        <f>INT(AB89)</f>
        <v>#N/A</v>
      </c>
      <c r="AF89" s="1337">
        <v>19</v>
      </c>
      <c r="AG89" s="1337" t="str">
        <f>IF(ISBLANK(HLOOKUP($D$67,Ferti_Cultures!$BC$71:$BH$93,AF89,FALSE)),"",HLOOKUP($D$67,Ferti_Cultures!$BC$71:$BH$93,AF89,FALSE))</f>
        <v xml:space="preserve"> de dindes humides</v>
      </c>
      <c r="AH89" s="1337" t="e">
        <f>IF(ISBLANK(HLOOKUP($D$68,Ferti_Cultures!$BC$71:$BH$93,AF89,FALSE)),"",HLOOKUP($D$68,Ferti_Cultures!$BC$71:$BH$93,AF89,FALSE))</f>
        <v>#N/A</v>
      </c>
      <c r="AI89" s="1736" t="str">
        <f>IF(ISBLANK(HLOOKUP($D$67,Ferti_Cultures!$BC$71:$BH$93,AF89,FALSE)),"",HLOOKUP($D$67,Ferti_Cultures!$BC$94:$BH$116,AF89,FALSE))</f>
        <v>tonnes</v>
      </c>
      <c r="AJ89" s="1736" t="e">
        <f>IF(ISBLANK(HLOOKUP($D$68,Ferti_Cultures!$BC$71:$BH$93,AF89,FALSE)),"",HLOOKUP($D$68,Ferti_Cultures!$BC$94:$BH$116,AF89,FALSE))</f>
        <v>#N/A</v>
      </c>
    </row>
    <row r="90" spans="1:36" ht="5.0999999999999996" customHeight="1" x14ac:dyDescent="0.2">
      <c r="A90" s="1164"/>
      <c r="B90" s="1164"/>
      <c r="C90" s="1164"/>
      <c r="D90" s="1164"/>
      <c r="E90" s="1164"/>
      <c r="F90" s="1164"/>
      <c r="G90" s="1164"/>
      <c r="H90" s="1164"/>
      <c r="I90" s="1164"/>
      <c r="J90" s="1164"/>
      <c r="K90" s="1256"/>
      <c r="L90" s="1256"/>
      <c r="M90" s="1256"/>
      <c r="N90" s="1164"/>
      <c r="O90" s="1498"/>
      <c r="P90" s="1498"/>
      <c r="Q90" s="1498"/>
      <c r="R90" s="1498"/>
      <c r="S90" s="1498"/>
      <c r="T90" s="1498"/>
      <c r="U90" s="1498"/>
      <c r="V90" s="1498"/>
      <c r="W90" s="1498"/>
      <c r="X90" s="1498"/>
      <c r="Y90" s="1498"/>
      <c r="Z90" s="1498"/>
      <c r="AF90" s="1337">
        <v>20</v>
      </c>
      <c r="AG90" s="1337" t="str">
        <f>IF(ISBLANK(HLOOKUP($D$67,Ferti_Cultures!$BC$71:$BH$93,AF90,FALSE)),"",HLOOKUP($D$67,Ferti_Cultures!$BC$71:$BH$93,AF90,FALSE))</f>
        <v xml:space="preserve"> de pintades humides sortie stockage</v>
      </c>
      <c r="AH90" s="1337" t="e">
        <f>IF(ISBLANK(HLOOKUP($D$68,Ferti_Cultures!$BC$71:$BH$93,AF90,FALSE)),"",HLOOKUP($D$68,Ferti_Cultures!$BC$71:$BH$93,AF90,FALSE))</f>
        <v>#N/A</v>
      </c>
      <c r="AI90" s="1736" t="str">
        <f>IF(ISBLANK(HLOOKUP($D$67,Ferti_Cultures!$BC$71:$BH$93,AF90,FALSE)),"",HLOOKUP($D$67,Ferti_Cultures!$BC$94:$BH$116,AF90,FALSE))</f>
        <v>tonnes</v>
      </c>
      <c r="AJ90" s="1736" t="e">
        <f>IF(ISBLANK(HLOOKUP($D$68,Ferti_Cultures!$BC$71:$BH$93,AF90,FALSE)),"",HLOOKUP($D$68,Ferti_Cultures!$BC$94:$BH$116,AF90,FALSE))</f>
        <v>#N/A</v>
      </c>
    </row>
    <row r="91" spans="1:36" x14ac:dyDescent="0.2">
      <c r="A91" s="1164"/>
      <c r="B91" s="1164"/>
      <c r="C91" s="1164"/>
      <c r="D91" s="1256" t="s">
        <v>457</v>
      </c>
      <c r="E91" s="1164"/>
      <c r="F91" s="3156"/>
      <c r="G91" s="3157"/>
      <c r="H91" s="3158"/>
      <c r="I91" s="1164"/>
      <c r="J91" s="1164"/>
      <c r="K91" s="1164"/>
      <c r="L91" s="1164"/>
      <c r="M91" s="1164"/>
      <c r="N91" s="1164"/>
      <c r="O91" s="1498"/>
      <c r="P91" s="1498"/>
      <c r="Q91" s="1498"/>
      <c r="R91" s="1498"/>
      <c r="S91" s="1498"/>
      <c r="T91" s="1498"/>
      <c r="U91" s="1498"/>
      <c r="V91" s="1498"/>
      <c r="W91" s="1498"/>
      <c r="X91" s="1498"/>
      <c r="Y91" s="1498"/>
      <c r="Z91" s="1498"/>
      <c r="AF91" s="1337">
        <v>21</v>
      </c>
      <c r="AG91" s="1337" t="str">
        <f>IF(ISBLANK(HLOOKUP($D$67,Ferti_Cultures!$BC$71:$BH$93,AF91,FALSE)),"",HLOOKUP($D$67,Ferti_Cultures!$BC$71:$BH$93,AF91,FALSE))</f>
        <v xml:space="preserve"> de pintades séchés en hangar</v>
      </c>
      <c r="AH91" s="1337" t="e">
        <f>IF(ISBLANK(HLOOKUP($D$68,Ferti_Cultures!$BC$71:$BH$93,AF91,FALSE)),"",HLOOKUP($D$68,Ferti_Cultures!$BC$71:$BH$93,AF91,FALSE))</f>
        <v>#N/A</v>
      </c>
      <c r="AI91" s="1736" t="str">
        <f>IF(ISBLANK(HLOOKUP($D$67,Ferti_Cultures!$BC$71:$BH$93,AF91,FALSE)),"",HLOOKUP($D$67,Ferti_Cultures!$BC$94:$BH$116,AF91,FALSE))</f>
        <v>tonnes</v>
      </c>
      <c r="AJ91" s="1736" t="e">
        <f>IF(ISBLANK(HLOOKUP($D$68,Ferti_Cultures!$BC$71:$BH$93,AF91,FALSE)),"",HLOOKUP($D$68,Ferti_Cultures!$BC$94:$BH$116,AF91,FALSE))</f>
        <v>#N/A</v>
      </c>
    </row>
    <row r="92" spans="1:36" ht="5.0999999999999996" customHeight="1" x14ac:dyDescent="0.2">
      <c r="A92" s="1164"/>
      <c r="B92" s="1164"/>
      <c r="C92" s="1164"/>
      <c r="D92" s="1256"/>
      <c r="E92" s="1256"/>
      <c r="F92" s="1256"/>
      <c r="G92" s="1256"/>
      <c r="H92" s="1256"/>
      <c r="I92" s="1164"/>
      <c r="J92" s="1164"/>
      <c r="K92" s="1164"/>
      <c r="L92" s="1164"/>
      <c r="M92" s="1164"/>
      <c r="N92" s="1164"/>
      <c r="O92" s="1498"/>
      <c r="P92" s="1498"/>
      <c r="Q92" s="1498"/>
      <c r="R92" s="1498"/>
      <c r="S92" s="1498"/>
      <c r="T92" s="1498"/>
      <c r="U92" s="1498"/>
      <c r="V92" s="1498"/>
      <c r="W92" s="1498"/>
      <c r="X92" s="1498"/>
      <c r="Y92" s="1498"/>
      <c r="Z92" s="1498"/>
      <c r="AF92" s="1337">
        <v>22</v>
      </c>
      <c r="AG92" s="1337" t="str">
        <f>IF(ISBLANK(HLOOKUP($D$67,Ferti_Cultures!$BC$71:$BH$93,AF92,FALSE)),"",HLOOKUP($D$67,Ferti_Cultures!$BC$71:$BH$93,AF92,FALSE))</f>
        <v xml:space="preserve"> de pintades humides</v>
      </c>
      <c r="AH92" s="1337" t="e">
        <f>IF(ISBLANK(HLOOKUP($D$68,Ferti_Cultures!$BC$71:$BH$93,AF92,FALSE)),"",HLOOKUP($D$68,Ferti_Cultures!$BC$71:$BH$93,AF92,FALSE))</f>
        <v>#N/A</v>
      </c>
      <c r="AI92" s="1736" t="str">
        <f>IF(ISBLANK(HLOOKUP($D$67,Ferti_Cultures!$BC$71:$BH$93,AF92,FALSE)),"",HLOOKUP($D$67,Ferti_Cultures!$BC$94:$BH$116,AF92,FALSE))</f>
        <v>tonnes</v>
      </c>
      <c r="AJ92" s="1736" t="e">
        <f>IF(ISBLANK(HLOOKUP($D$68,Ferti_Cultures!$BC$71:$BH$93,AF92,FALSE)),"",HLOOKUP($D$68,Ferti_Cultures!$BC$94:$BH$116,AF92,FALSE))</f>
        <v>#N/A</v>
      </c>
    </row>
    <row r="93" spans="1:36" x14ac:dyDescent="0.2">
      <c r="A93" s="1164"/>
      <c r="B93" s="1164"/>
      <c r="C93" s="1164"/>
      <c r="D93" s="1164"/>
      <c r="E93" s="1256" t="s">
        <v>688</v>
      </c>
      <c r="F93" s="1287">
        <f>NPK_Organiques!F21-Plan_Epandage!F89</f>
        <v>-5345.5414402195347</v>
      </c>
      <c r="G93" s="1483" t="s">
        <v>1746</v>
      </c>
      <c r="H93" s="1164"/>
      <c r="I93" s="1164"/>
      <c r="J93" s="1164"/>
      <c r="K93" s="1256" t="s">
        <v>687</v>
      </c>
      <c r="L93" s="1287" t="e">
        <f>NPK_Organiques!I21-Plan_Epandage!L89</f>
        <v>#N/A</v>
      </c>
      <c r="M93" s="1483" t="s">
        <v>1747</v>
      </c>
      <c r="N93" s="1164"/>
      <c r="O93" s="1498"/>
      <c r="P93" s="1498"/>
      <c r="Q93" s="1498"/>
      <c r="R93" s="1498"/>
      <c r="S93" s="1498"/>
      <c r="T93" s="1498"/>
      <c r="U93" s="1498"/>
      <c r="V93" s="1498"/>
      <c r="W93" s="1498"/>
      <c r="X93" s="1498"/>
      <c r="Y93" s="1498"/>
      <c r="Z93" s="1498"/>
      <c r="AF93" s="1337">
        <v>23</v>
      </c>
      <c r="AG93" s="1337" t="str">
        <f>IF(ISBLANK(HLOOKUP($D$67,Ferti_Cultures!$BC$71:$BH$93,AF93,FALSE)),"",HLOOKUP($D$67,Ferti_Cultures!$BC$71:$BH$93,AF93,FALSE))</f>
        <v xml:space="preserve"> de lapin</v>
      </c>
      <c r="AH93" s="1337" t="e">
        <f>IF(ISBLANK(HLOOKUP($D$68,Ferti_Cultures!$BC$71:$BH$93,AF93,FALSE)),"",HLOOKUP($D$68,Ferti_Cultures!$BC$71:$BH$93,AF93,FALSE))</f>
        <v>#N/A</v>
      </c>
      <c r="AI93" s="1736" t="str">
        <f>IF(ISBLANK(HLOOKUP($D$67,Ferti_Cultures!$BC$71:$BH$93,AF93,FALSE)),"",HLOOKUP($D$67,Ferti_Cultures!$BC$94:$BH$116,AF93,FALSE))</f>
        <v>tonnes</v>
      </c>
      <c r="AJ93" s="1736" t="e">
        <f>IF(ISBLANK(HLOOKUP($D$68,Ferti_Cultures!$BC$71:$BH$93,AF93,FALSE)),"",HLOOKUP($D$68,Ferti_Cultures!$BC$94:$BH$116,AF93,FALSE))</f>
        <v>#N/A</v>
      </c>
    </row>
    <row r="94" spans="1:36" x14ac:dyDescent="0.2">
      <c r="A94" s="1164"/>
      <c r="B94" s="1164"/>
      <c r="C94" s="1164"/>
      <c r="D94" s="1164"/>
      <c r="E94" s="1164"/>
      <c r="F94" s="1260" t="s">
        <v>1637</v>
      </c>
      <c r="G94" s="1260"/>
      <c r="H94" s="1260" t="s">
        <v>1638</v>
      </c>
      <c r="I94" s="1570" t="s">
        <v>2363</v>
      </c>
      <c r="J94" s="1164"/>
      <c r="K94" s="1164"/>
      <c r="L94" s="1164"/>
      <c r="M94" s="1164"/>
      <c r="N94" s="1164"/>
      <c r="O94" s="1498"/>
      <c r="P94" s="1498"/>
      <c r="Q94" s="1498"/>
      <c r="R94" s="1498"/>
      <c r="S94" s="1498"/>
      <c r="T94" s="1498"/>
      <c r="U94" s="1498"/>
      <c r="V94" s="1498"/>
      <c r="W94" s="1498"/>
      <c r="X94" s="1498"/>
      <c r="Y94" s="1498"/>
      <c r="Z94" s="1498"/>
    </row>
    <row r="95" spans="1:36" x14ac:dyDescent="0.2">
      <c r="A95" s="1796" t="s">
        <v>1653</v>
      </c>
      <c r="B95" s="1796"/>
      <c r="C95" s="1796"/>
      <c r="D95" s="1797" t="s">
        <v>625</v>
      </c>
      <c r="E95" s="1796"/>
      <c r="F95" s="1850">
        <f>(NPK_Organiques!H21-Plan_Epandage!F89)/SA_SAUnette</f>
        <v>0</v>
      </c>
      <c r="G95" s="1796"/>
      <c r="H95" s="2929">
        <f>(NPK_Organiques!H21-Plan_Epandage!F89)/SA_SPE</f>
        <v>0</v>
      </c>
      <c r="I95" s="2919">
        <f>(NPK_Organiques!H21-Plan_Epandage!F89)/SA_SAMO</f>
        <v>0</v>
      </c>
      <c r="J95" s="1164"/>
      <c r="K95" s="1164"/>
      <c r="L95" s="1277" t="e">
        <f>IF(H96&lt;=AB87,"OK","La pression P2O5 est trop élevée de "&amp;AD88&amp;" kg par ha de SPE")</f>
        <v>#N/A</v>
      </c>
      <c r="M95" s="1164"/>
      <c r="N95" s="1164"/>
      <c r="O95" s="1498"/>
      <c r="P95" s="1498"/>
      <c r="Q95" s="1498"/>
      <c r="R95" s="1498"/>
      <c r="S95" s="1498"/>
      <c r="T95" s="1498"/>
      <c r="U95" s="1498"/>
      <c r="V95" s="1498"/>
      <c r="W95" s="1498"/>
      <c r="X95" s="1498"/>
      <c r="Y95" s="1498"/>
      <c r="Z95" s="1498"/>
    </row>
    <row r="96" spans="1:36" x14ac:dyDescent="0.2">
      <c r="A96" s="1796"/>
      <c r="B96" s="1796"/>
      <c r="C96" s="1796"/>
      <c r="D96" s="1797" t="s">
        <v>187</v>
      </c>
      <c r="E96" s="1796"/>
      <c r="F96" s="1850" t="e">
        <f>(NPK_Organiques!K21-Plan_Epandage!L89)/SA_SAUnette</f>
        <v>#N/A</v>
      </c>
      <c r="G96" s="1796"/>
      <c r="H96" s="2929" t="e">
        <f>(NPK_Organiques!K21-Plan_Epandage!L89)/SA_SPE</f>
        <v>#N/A</v>
      </c>
      <c r="I96" s="2919" t="e">
        <f>(NPK_Organiques!K21-Plan_Epandage!L89)/SA_SAMO</f>
        <v>#N/A</v>
      </c>
      <c r="J96" s="1164"/>
      <c r="K96" s="1164"/>
      <c r="L96" s="1277" t="e">
        <f>IF(H96&lt;=AB87,"OK","Reduisez votre objectif de pression organique finale")</f>
        <v>#N/A</v>
      </c>
      <c r="M96" s="1164"/>
      <c r="N96" s="1164"/>
      <c r="O96" s="1498"/>
      <c r="P96" s="1498"/>
      <c r="Q96" s="1498"/>
      <c r="R96" s="1498"/>
      <c r="S96" s="1498"/>
      <c r="T96" s="1498"/>
      <c r="U96" s="1498"/>
      <c r="V96" s="1498"/>
      <c r="W96" s="1498"/>
      <c r="X96" s="1498"/>
      <c r="Y96" s="1498"/>
      <c r="Z96" s="1498"/>
    </row>
    <row r="97" spans="1:34" x14ac:dyDescent="0.2">
      <c r="A97" s="1164"/>
      <c r="B97" s="1258" t="s">
        <v>868</v>
      </c>
      <c r="C97" s="1164"/>
      <c r="D97" s="1164"/>
      <c r="E97" s="1164"/>
      <c r="F97" s="1164"/>
      <c r="G97" s="1164"/>
      <c r="H97" s="1164"/>
      <c r="I97" s="1164"/>
      <c r="J97" s="1164"/>
      <c r="K97" s="1164"/>
      <c r="L97" s="1277" t="e">
        <f>IF(H96&lt;=AB87,"","à "&amp;AD89&amp;" kg N / ha SAU nette")</f>
        <v>#N/A</v>
      </c>
      <c r="M97" s="1164"/>
      <c r="N97" s="1164"/>
      <c r="O97" s="1498"/>
      <c r="P97" s="1498"/>
      <c r="Q97" s="1498"/>
      <c r="R97" s="1498"/>
      <c r="S97" s="1498"/>
      <c r="T97" s="1498"/>
      <c r="U97" s="1498"/>
      <c r="V97" s="1498"/>
      <c r="W97" s="1498"/>
      <c r="X97" s="1498"/>
      <c r="Y97" s="1498"/>
      <c r="Z97" s="1498"/>
    </row>
    <row r="98" spans="1:34" x14ac:dyDescent="0.2">
      <c r="A98" s="1164"/>
      <c r="B98" s="1258"/>
      <c r="C98" s="1164"/>
      <c r="D98" s="1164"/>
      <c r="E98" s="1164"/>
      <c r="F98" s="1164"/>
      <c r="G98" s="1164"/>
      <c r="H98" s="1164"/>
      <c r="I98" s="1164"/>
      <c r="J98" s="1164"/>
      <c r="K98" s="1164"/>
      <c r="L98" s="1277"/>
      <c r="M98" s="1164"/>
      <c r="N98" s="1164"/>
      <c r="O98" s="1498"/>
      <c r="P98" s="1498"/>
      <c r="Q98" s="1498"/>
      <c r="R98" s="1498"/>
      <c r="S98" s="1498"/>
      <c r="T98" s="1498"/>
      <c r="U98" s="1498"/>
      <c r="V98" s="1498"/>
      <c r="W98" s="1498"/>
      <c r="X98" s="1498"/>
      <c r="Y98" s="1498"/>
      <c r="Z98" s="1498"/>
    </row>
    <row r="99" spans="1:34" x14ac:dyDescent="0.2">
      <c r="A99" s="1164"/>
      <c r="B99" s="1795" t="s">
        <v>1745</v>
      </c>
      <c r="C99" s="1164"/>
      <c r="D99" s="1164"/>
      <c r="E99" s="1164"/>
      <c r="F99" s="1164"/>
      <c r="G99" s="1164"/>
      <c r="H99" s="1164"/>
      <c r="I99" s="1164"/>
      <c r="J99" s="1432"/>
      <c r="K99" s="1164"/>
      <c r="L99" s="1277"/>
      <c r="M99" s="1164"/>
      <c r="N99" s="1164"/>
      <c r="O99" s="1498"/>
      <c r="P99" s="1498"/>
      <c r="Q99" s="1498"/>
      <c r="R99" s="1498"/>
      <c r="S99" s="1498"/>
      <c r="T99" s="1498"/>
      <c r="U99" s="1498"/>
      <c r="V99" s="1498"/>
      <c r="W99" s="1498"/>
      <c r="X99" s="1498"/>
      <c r="Y99" s="1498"/>
      <c r="Z99" s="1498"/>
      <c r="AA99" s="1336" t="s">
        <v>1579</v>
      </c>
      <c r="AB99" s="1433"/>
      <c r="AC99" s="1798" t="s">
        <v>979</v>
      </c>
      <c r="AD99" s="1334"/>
      <c r="AE99" s="1335"/>
    </row>
    <row r="100" spans="1:34" ht="5.0999999999999996" customHeight="1" x14ac:dyDescent="0.2">
      <c r="A100" s="1164"/>
      <c r="B100" s="1331"/>
      <c r="C100" s="1164"/>
      <c r="D100" s="1164"/>
      <c r="E100" s="1164"/>
      <c r="F100" s="1164"/>
      <c r="G100" s="1164"/>
      <c r="H100" s="1164"/>
      <c r="I100" s="1164"/>
      <c r="J100" s="1164"/>
      <c r="K100" s="1164"/>
      <c r="L100" s="1277"/>
      <c r="M100" s="1164"/>
      <c r="N100" s="1164"/>
      <c r="O100" s="1498"/>
      <c r="P100" s="1498"/>
      <c r="Q100" s="1498"/>
      <c r="R100" s="1498"/>
      <c r="S100" s="1498"/>
      <c r="T100" s="1498"/>
      <c r="U100" s="1498"/>
      <c r="V100" s="1498"/>
      <c r="W100" s="1498"/>
      <c r="X100" s="1498"/>
      <c r="Y100" s="1498"/>
      <c r="Z100" s="1498"/>
    </row>
    <row r="101" spans="1:34" x14ac:dyDescent="0.2">
      <c r="A101" s="1164"/>
      <c r="B101" s="1263" t="str">
        <f>IF(ISBLANK(Priorite_Epand2),"",IF(Priorite_Epand2=1,"Cultures","Prairies"))</f>
        <v/>
      </c>
      <c r="C101" s="1164"/>
      <c r="D101" s="1164"/>
      <c r="E101" s="1164"/>
      <c r="F101" s="1260" t="s">
        <v>863</v>
      </c>
      <c r="G101" s="1260"/>
      <c r="H101" s="1570" t="s">
        <v>1978</v>
      </c>
      <c r="I101" s="1260"/>
      <c r="J101" s="1260"/>
      <c r="K101" s="1164"/>
      <c r="L101" s="1164"/>
      <c r="M101" s="1164"/>
      <c r="N101" s="1164"/>
      <c r="O101" s="1498"/>
      <c r="P101" s="1498"/>
      <c r="Q101" s="1498"/>
      <c r="R101" s="1498"/>
      <c r="S101" s="1498"/>
      <c r="T101" s="1498"/>
      <c r="U101" s="1498"/>
      <c r="V101" s="1498"/>
      <c r="W101" s="1498"/>
      <c r="X101" s="1498"/>
      <c r="Y101" s="1498"/>
      <c r="Z101" s="1498"/>
      <c r="AB101" s="1337" t="str">
        <f>IF(Priorite_Epand2=1,"sur cultures",IF(Priorite_Epand2=2,"sur prairies",""))</f>
        <v/>
      </c>
      <c r="AC101" s="1275"/>
      <c r="AG101" s="17" t="s">
        <v>682</v>
      </c>
      <c r="AH101" s="17" t="s">
        <v>683</v>
      </c>
    </row>
    <row r="102" spans="1:34" ht="12.75" customHeight="1" x14ac:dyDescent="0.2">
      <c r="A102" s="1164"/>
      <c r="B102" s="1263" t="str">
        <f>IF(ISBLANK(Priorite_Epand2),"",IF(Priorite_Epand2=1,"  ● Céréales 1","  ● permanentes"))</f>
        <v/>
      </c>
      <c r="C102" s="1164"/>
      <c r="D102" s="1164"/>
      <c r="E102" s="1164"/>
      <c r="F102" s="1261"/>
      <c r="G102" s="1260"/>
      <c r="H102" s="1261"/>
      <c r="I102" s="1260"/>
      <c r="J102" s="1287">
        <f>F102*H102</f>
        <v>0</v>
      </c>
      <c r="K102" s="1164" t="s">
        <v>220</v>
      </c>
      <c r="L102" s="1164"/>
      <c r="M102" s="3162" t="str">
        <f>IF(F93-J108&lt;0,"Le total que vous prévoyez d'épandre "&amp;AB101&amp;" est supérieur au disponible. Vous devez réviser vos doses ou vos surfaces d'épandage ","")</f>
        <v xml:space="preserve">Le total que vous prévoyez d'épandre  est supérieur au disponible. Vous devez réviser vos doses ou vos surfaces d'épandage </v>
      </c>
      <c r="N102" s="3162"/>
      <c r="O102" s="1498"/>
      <c r="P102" s="1498"/>
      <c r="Q102" s="1498"/>
      <c r="R102" s="1498"/>
      <c r="S102" s="1498"/>
      <c r="T102" s="1498"/>
      <c r="U102" s="1498"/>
      <c r="V102" s="1498"/>
      <c r="W102" s="1498"/>
      <c r="X102" s="1498"/>
      <c r="Y102" s="1498"/>
      <c r="Z102" s="1498"/>
      <c r="AF102" s="17" t="str">
        <f>B102</f>
        <v/>
      </c>
      <c r="AG102" s="17">
        <f>F102</f>
        <v>0</v>
      </c>
      <c r="AH102" s="17">
        <f>AD$55*AG102</f>
        <v>0</v>
      </c>
    </row>
    <row r="103" spans="1:34" ht="12.75" customHeight="1" x14ac:dyDescent="0.2">
      <c r="A103" s="1164"/>
      <c r="B103" s="1263" t="str">
        <f>IF(ISBLANK(Priorite_Epand2),"",IF(Priorite_Epand2=1,"  ● Céréales 2","  ● temporaires ou longue durée"))</f>
        <v/>
      </c>
      <c r="C103" s="1164"/>
      <c r="D103" s="1164"/>
      <c r="E103" s="1164"/>
      <c r="F103" s="1261"/>
      <c r="G103" s="1260"/>
      <c r="H103" s="1261"/>
      <c r="I103" s="1260"/>
      <c r="J103" s="1287">
        <f>F103*H103</f>
        <v>0</v>
      </c>
      <c r="K103" s="1164" t="s">
        <v>220</v>
      </c>
      <c r="L103" s="1338"/>
      <c r="M103" s="3162"/>
      <c r="N103" s="3162"/>
      <c r="O103" s="1498"/>
      <c r="P103" s="1498"/>
      <c r="Q103" s="1498"/>
      <c r="R103" s="1498"/>
      <c r="S103" s="1498"/>
      <c r="T103" s="1498"/>
      <c r="U103" s="1498"/>
      <c r="V103" s="1498"/>
      <c r="W103" s="1498"/>
      <c r="X103" s="1498"/>
      <c r="Y103" s="1498"/>
      <c r="Z103" s="1498"/>
      <c r="AF103" s="17" t="str">
        <f>B103</f>
        <v/>
      </c>
      <c r="AG103" s="17">
        <f>F103</f>
        <v>0</v>
      </c>
      <c r="AH103" s="17">
        <f>AD$55*AG103</f>
        <v>0</v>
      </c>
    </row>
    <row r="104" spans="1:34" x14ac:dyDescent="0.2">
      <c r="A104" s="1164"/>
      <c r="B104" s="1263" t="str">
        <f>IF(ISBLANK(Priorite_Epand2),"",IF(Priorite_Epand2=1,"  ● Maïs","  ● association"))</f>
        <v/>
      </c>
      <c r="C104" s="1164"/>
      <c r="D104" s="1164"/>
      <c r="E104" s="1164"/>
      <c r="F104" s="1680"/>
      <c r="G104" s="1260"/>
      <c r="H104" s="1261"/>
      <c r="I104" s="1260"/>
      <c r="J104" s="1287">
        <f>F104*H104</f>
        <v>0</v>
      </c>
      <c r="K104" s="1164" t="s">
        <v>220</v>
      </c>
      <c r="L104" s="1338"/>
      <c r="M104" s="3162"/>
      <c r="N104" s="3162"/>
      <c r="O104" s="1498"/>
      <c r="P104" s="1498"/>
      <c r="Q104" s="1498"/>
      <c r="R104" s="1498"/>
      <c r="S104" s="1498"/>
      <c r="T104" s="1498"/>
      <c r="U104" s="1498"/>
      <c r="V104" s="1498"/>
      <c r="W104" s="1498"/>
      <c r="X104" s="1498"/>
      <c r="Y104" s="1498"/>
      <c r="Z104" s="1498"/>
      <c r="AF104" s="17" t="str">
        <f>B104</f>
        <v/>
      </c>
      <c r="AG104" s="17">
        <f>F104</f>
        <v>0</v>
      </c>
      <c r="AH104" s="17">
        <f>AD$57*AG104</f>
        <v>0</v>
      </c>
    </row>
    <row r="105" spans="1:34" x14ac:dyDescent="0.2">
      <c r="A105" s="1164"/>
      <c r="B105" s="1263" t="str">
        <f>IF(ISBLANK(Priorite_Epand2),"",IF(Priorite_Epand2=1,"  ● Autre culture 1",""))</f>
        <v/>
      </c>
      <c r="C105" s="1164"/>
      <c r="D105" s="1164"/>
      <c r="E105" s="1164"/>
      <c r="F105" s="1261"/>
      <c r="G105" s="1260"/>
      <c r="H105" s="1261"/>
      <c r="I105" s="1260"/>
      <c r="J105" s="1287">
        <f>F105*H105</f>
        <v>0</v>
      </c>
      <c r="K105" s="1164" t="str">
        <f>IF($AB$99=2,""," kg N")</f>
        <v xml:space="preserve"> kg N</v>
      </c>
      <c r="L105" s="1338"/>
      <c r="M105" s="3162"/>
      <c r="N105" s="3162"/>
      <c r="O105" s="1498"/>
      <c r="P105" s="1498"/>
      <c r="Q105" s="1498"/>
      <c r="R105" s="1498"/>
      <c r="S105" s="1498"/>
      <c r="T105" s="1498"/>
      <c r="U105" s="1498"/>
      <c r="V105" s="1498"/>
      <c r="W105" s="1498"/>
      <c r="X105" s="1498"/>
      <c r="Y105" s="1498"/>
      <c r="Z105" s="1498"/>
      <c r="AF105" s="17" t="str">
        <f>B105</f>
        <v/>
      </c>
      <c r="AG105" s="17">
        <f>F105</f>
        <v>0</v>
      </c>
      <c r="AH105" s="17">
        <f>AD$58*AG105</f>
        <v>0</v>
      </c>
    </row>
    <row r="106" spans="1:34" ht="12.75" customHeight="1" x14ac:dyDescent="0.2">
      <c r="A106" s="1164"/>
      <c r="B106" s="1263" t="str">
        <f>IF(ISBLANK(Priorite_Epand2),"",IF(Priorite_Epand2=1,"  ● Autre culture 2",""))</f>
        <v/>
      </c>
      <c r="C106" s="1164"/>
      <c r="D106" s="1164"/>
      <c r="E106" s="1164"/>
      <c r="F106" s="1261"/>
      <c r="G106" s="1260"/>
      <c r="H106" s="1261"/>
      <c r="I106" s="1260"/>
      <c r="J106" s="1287">
        <f>F106*H106</f>
        <v>0</v>
      </c>
      <c r="K106" s="1164" t="str">
        <f>IF($AB$99=2,""," kg N")</f>
        <v xml:space="preserve"> kg N</v>
      </c>
      <c r="L106" s="1338"/>
      <c r="M106" s="3162"/>
      <c r="N106" s="3162"/>
      <c r="O106" s="1498"/>
      <c r="P106" s="1498"/>
      <c r="Q106" s="1498"/>
      <c r="R106" s="1498"/>
      <c r="S106" s="1498"/>
      <c r="T106" s="1498"/>
      <c r="U106" s="1498"/>
      <c r="V106" s="1498"/>
      <c r="W106" s="1498"/>
      <c r="X106" s="1498"/>
      <c r="Y106" s="1498"/>
      <c r="Z106" s="1498"/>
      <c r="AF106" s="17" t="str">
        <f>B106</f>
        <v/>
      </c>
      <c r="AG106" s="17">
        <f>F106</f>
        <v>0</v>
      </c>
      <c r="AH106" s="17">
        <f>AD$59*AG106</f>
        <v>0</v>
      </c>
    </row>
    <row r="107" spans="1:34" ht="5.0999999999999996" customHeight="1" x14ac:dyDescent="0.2">
      <c r="A107" s="1164"/>
      <c r="B107" s="1164"/>
      <c r="C107" s="1164"/>
      <c r="D107" s="1164"/>
      <c r="E107" s="1164"/>
      <c r="F107" s="1164"/>
      <c r="G107" s="1164"/>
      <c r="H107" s="1164">
        <f>F107*ROW()</f>
        <v>0</v>
      </c>
      <c r="I107" s="1164"/>
      <c r="J107" s="1164"/>
      <c r="K107" s="1164"/>
      <c r="L107" s="1164"/>
      <c r="M107" s="3162"/>
      <c r="N107" s="3162"/>
      <c r="O107" s="1498"/>
      <c r="P107" s="1498"/>
      <c r="Q107" s="1498"/>
      <c r="R107" s="1498"/>
      <c r="S107" s="1498"/>
      <c r="T107" s="1498"/>
      <c r="U107" s="1498"/>
      <c r="V107" s="1498"/>
      <c r="W107" s="1498"/>
      <c r="X107" s="1498"/>
      <c r="Y107" s="1498"/>
      <c r="Z107" s="1498"/>
    </row>
    <row r="108" spans="1:34" ht="12.95" customHeight="1" x14ac:dyDescent="0.2">
      <c r="A108" s="3144" t="s">
        <v>1743</v>
      </c>
      <c r="B108" s="3144"/>
      <c r="C108" s="1164"/>
      <c r="D108" s="1164"/>
      <c r="E108" s="1164"/>
      <c r="F108" s="1164"/>
      <c r="G108" s="1164"/>
      <c r="H108" s="1164"/>
      <c r="I108" s="1264" t="str">
        <f>IF(ISBLANK(Priorite_Epand2),"",IF(Priorite_Epand2=1," Total annuel N sur cultures épandables : ","Total annuel N sur prairies épandables : "))</f>
        <v/>
      </c>
      <c r="J108" s="1287">
        <f>SUM(J102:J106)</f>
        <v>0</v>
      </c>
      <c r="K108" s="1164" t="s">
        <v>689</v>
      </c>
      <c r="L108" s="1164"/>
      <c r="M108" s="3162"/>
      <c r="N108" s="3162"/>
      <c r="O108" s="1498"/>
      <c r="P108" s="1498"/>
      <c r="Q108" s="1498"/>
      <c r="R108" s="1498"/>
      <c r="S108" s="1498"/>
      <c r="T108" s="1498"/>
      <c r="U108" s="1498"/>
      <c r="V108" s="1498"/>
      <c r="W108" s="1498"/>
      <c r="X108" s="1498"/>
      <c r="Y108" s="1498"/>
      <c r="Z108" s="1498"/>
      <c r="AF108" s="1269" t="s">
        <v>684</v>
      </c>
      <c r="AG108" s="1270">
        <f>SA_PraiEpand</f>
        <v>52</v>
      </c>
      <c r="AH108" s="1270">
        <f>AD$61*AG108</f>
        <v>3380</v>
      </c>
    </row>
    <row r="109" spans="1:34" ht="12.75" customHeight="1" x14ac:dyDescent="0.2">
      <c r="A109" s="3144"/>
      <c r="B109" s="3144"/>
      <c r="C109" s="1989"/>
      <c r="D109" s="1164"/>
      <c r="E109" s="1164"/>
      <c r="F109" s="1164"/>
      <c r="G109" s="1164"/>
      <c r="H109" s="1164"/>
      <c r="I109" s="1264" t="str">
        <f>IF(ISBLANK(Priorite_Epand2),"",IF(Priorite_Epand2=1," Reste à épandre sur les prairies épandables ou à exporter si manque de prairies : ","Reste à épandre sur les cultures épandables : "))</f>
        <v/>
      </c>
      <c r="J109" s="1287">
        <f>IF(F93-J108&lt;0,0,F93-J108)</f>
        <v>0</v>
      </c>
      <c r="K109" s="1164" t="s">
        <v>689</v>
      </c>
      <c r="L109" s="1164"/>
      <c r="M109" s="3162"/>
      <c r="N109" s="3162"/>
      <c r="O109" s="1498"/>
      <c r="P109" s="1498"/>
      <c r="Q109" s="1498"/>
      <c r="R109" s="1498"/>
      <c r="S109" s="1498"/>
      <c r="T109" s="1498"/>
      <c r="U109" s="1498"/>
      <c r="V109" s="1498"/>
      <c r="W109" s="1498"/>
      <c r="X109" s="1498"/>
      <c r="Y109" s="1498"/>
      <c r="Z109" s="1498"/>
      <c r="AF109" s="618" t="s">
        <v>244</v>
      </c>
      <c r="AG109" s="17"/>
      <c r="AH109" s="17">
        <f>SUM(AH102:AH108)</f>
        <v>3380</v>
      </c>
    </row>
    <row r="110" spans="1:34" x14ac:dyDescent="0.2">
      <c r="A110" s="3144"/>
      <c r="B110" s="3144"/>
      <c r="C110" s="1989"/>
      <c r="D110" s="1164"/>
      <c r="E110" s="1164"/>
      <c r="F110" s="1164"/>
      <c r="G110" s="1164"/>
      <c r="H110" s="1164"/>
      <c r="I110" s="1264" t="s">
        <v>1366</v>
      </c>
      <c r="J110" s="1287" t="str">
        <f>IF(Priorite_Epand2=2,J109/SA_CultEpand,IF(Priorite_Epand2=1,J109/SA_PraiEpand,"ERR"))</f>
        <v>ERR</v>
      </c>
      <c r="K110" s="1164" t="str">
        <f>IF(Priorite_Epand2=2," kg N par ha de cultures épandables", IF(Priorite_Epand2=1," kg N par ha de prairies épandables",""))</f>
        <v/>
      </c>
      <c r="L110" s="1164"/>
      <c r="M110" s="1164"/>
      <c r="N110" s="1164"/>
      <c r="O110" s="1498"/>
      <c r="P110" s="1498"/>
      <c r="Q110" s="1498"/>
      <c r="R110" s="1498"/>
      <c r="S110" s="1498"/>
      <c r="T110" s="1498"/>
      <c r="U110" s="1498"/>
      <c r="V110" s="1498"/>
      <c r="W110" s="1498"/>
      <c r="X110" s="1498"/>
      <c r="Y110" s="1498"/>
      <c r="Z110" s="1498"/>
    </row>
    <row r="111" spans="1:34" x14ac:dyDescent="0.2">
      <c r="A111" s="3144"/>
      <c r="B111" s="3144"/>
      <c r="C111" s="1989"/>
      <c r="D111" s="1164"/>
      <c r="E111" s="1164"/>
      <c r="F111" s="1164"/>
      <c r="G111" s="1164"/>
      <c r="H111" s="1164"/>
      <c r="I111" s="1264"/>
      <c r="J111" s="1264"/>
      <c r="K111" s="1483" t="str">
        <f>IF(Priorite_Epand2=1," (Cette dose s'ajoute","")</f>
        <v/>
      </c>
      <c r="L111" s="1164"/>
      <c r="M111" s="1164"/>
      <c r="N111" s="1164"/>
      <c r="O111" s="1498"/>
      <c r="P111" s="1498"/>
      <c r="Q111" s="1498"/>
      <c r="R111" s="1498"/>
      <c r="S111" s="1498"/>
      <c r="T111" s="1498"/>
      <c r="U111" s="1498"/>
      <c r="V111" s="1498"/>
      <c r="W111" s="1498"/>
      <c r="X111" s="1498"/>
      <c r="Y111" s="1498"/>
      <c r="Z111" s="1498"/>
    </row>
    <row r="112" spans="1:34" x14ac:dyDescent="0.2">
      <c r="A112" s="3144"/>
      <c r="B112" s="3144"/>
      <c r="C112" s="1164"/>
      <c r="D112" s="1164"/>
      <c r="E112" s="1164"/>
      <c r="F112" s="1164"/>
      <c r="G112" s="1164"/>
      <c r="H112" s="1164"/>
      <c r="I112" s="1264"/>
      <c r="J112" s="1264"/>
      <c r="K112" s="1483" t="str">
        <f>IF(Priorite_Epand2=1,"  aux rejets directs au pâturage)","")</f>
        <v/>
      </c>
      <c r="L112" s="1164"/>
      <c r="M112" s="3164" t="str">
        <f>IF(OR(J109&lt;0.95*J124, J109&gt;1.05*J124),"Si les doses brutes Cultures”dépassent 120 kgN/ha","")</f>
        <v/>
      </c>
      <c r="N112" s="3164"/>
      <c r="O112" s="1498"/>
      <c r="P112" s="1498"/>
      <c r="Q112" s="1498"/>
      <c r="R112" s="1498"/>
      <c r="S112" s="1498"/>
      <c r="T112" s="1498"/>
      <c r="U112" s="1498"/>
      <c r="V112" s="1498"/>
      <c r="W112" s="1498"/>
      <c r="X112" s="1498"/>
      <c r="Y112" s="1498"/>
      <c r="Z112" s="1498"/>
    </row>
    <row r="113" spans="1:34" ht="12.75" customHeight="1" x14ac:dyDescent="0.2">
      <c r="A113" s="1164"/>
      <c r="B113" s="1164"/>
      <c r="C113" s="1164"/>
      <c r="D113" s="1260" t="s">
        <v>2040</v>
      </c>
      <c r="E113" s="1260"/>
      <c r="F113" s="1260" t="s">
        <v>2041</v>
      </c>
      <c r="G113" s="1164"/>
      <c r="H113" s="1164"/>
      <c r="I113" s="1164"/>
      <c r="J113" s="1164"/>
      <c r="K113" s="1164"/>
      <c r="L113" s="1164"/>
      <c r="M113" s="3164"/>
      <c r="N113" s="3164"/>
      <c r="O113" s="1498"/>
      <c r="P113" s="1498"/>
      <c r="Q113" s="1498"/>
      <c r="R113" s="1498"/>
      <c r="S113" s="1498"/>
      <c r="T113" s="1498"/>
      <c r="U113" s="1498"/>
      <c r="V113" s="1498"/>
      <c r="W113" s="1498"/>
      <c r="X113" s="1498"/>
      <c r="Y113" s="1498"/>
      <c r="Z113" s="1498"/>
    </row>
    <row r="114" spans="1:34" ht="53.1" customHeight="1" x14ac:dyDescent="0.2">
      <c r="A114" s="1164"/>
      <c r="B114" s="3159" t="s">
        <v>2243</v>
      </c>
      <c r="C114" s="3160"/>
      <c r="D114" s="2142"/>
      <c r="E114" s="1164"/>
      <c r="F114" s="2020"/>
      <c r="G114" s="1164"/>
      <c r="H114" s="1164"/>
      <c r="I114" s="2022" t="s">
        <v>1366</v>
      </c>
      <c r="J114" s="2021" t="e">
        <f>J110/VLOOKUP(Type1_2&amp;Sous_type1_2,Ferti_Cultures!$AY$73:$AZ$122,2,FALSE)</f>
        <v>#VALUE!</v>
      </c>
      <c r="K114" s="4" t="e">
        <f>" "&amp;$AH$114&amp;" par ha de "&amp;IF(Priorite_Epand2=2,"cultures épandables", IF(Priorite_Epand2=1,"prairies épandables",""))</f>
        <v>#N/A</v>
      </c>
      <c r="L114" s="1164"/>
      <c r="M114" s="2023"/>
      <c r="N114" s="2023"/>
      <c r="O114" s="1498"/>
      <c r="P114" s="1498"/>
      <c r="Q114" s="1498"/>
      <c r="R114" s="1498"/>
      <c r="S114" s="1498"/>
      <c r="T114" s="1498"/>
      <c r="U114" s="1498"/>
      <c r="V114" s="1498"/>
      <c r="W114" s="1498"/>
      <c r="X114" s="1498"/>
      <c r="Y114" s="1498"/>
      <c r="Z114" s="1498"/>
      <c r="AG114" s="1337" t="e">
        <f>VLOOKUP(Type1_2&amp;Sous_type1_2,Ferti_Cultures!$AY$73:$AZ$122,2,FALSE)</f>
        <v>#N/A</v>
      </c>
      <c r="AH114" s="1337" t="e">
        <f>VLOOKUP(Type1_2&amp;Sous_type1_2,Ferti_Cultures!$AY$73:$BA$122,3,FALSE)</f>
        <v>#N/A</v>
      </c>
    </row>
    <row r="115" spans="1:34" ht="53.1" customHeight="1" x14ac:dyDescent="0.2">
      <c r="A115" s="3159" t="s">
        <v>2244</v>
      </c>
      <c r="B115" s="3159"/>
      <c r="C115" s="3160"/>
      <c r="D115" s="2020"/>
      <c r="E115" s="1164"/>
      <c r="F115" s="2020"/>
      <c r="G115" s="1164"/>
      <c r="H115" s="1164"/>
      <c r="I115" s="2118" t="s">
        <v>1366</v>
      </c>
      <c r="J115" s="2021" t="e">
        <f>J110/VLOOKUP(Type2_2&amp;Sous_type2_2,Ferti_Cultures!$AY$73:$AZ$122,2,FALSE)</f>
        <v>#VALUE!</v>
      </c>
      <c r="K115" s="4" t="e">
        <f>" "&amp;$AH$115&amp;" par ha de "&amp;IF(Priorite_Epand2=2,"cultures épandables", IF(Priorite_Epand2=1,"prairies épandables",""))</f>
        <v>#N/A</v>
      </c>
      <c r="L115" s="1164"/>
      <c r="M115" s="2023"/>
      <c r="N115" s="2023"/>
      <c r="O115" s="1498"/>
      <c r="P115" s="1498"/>
      <c r="Q115" s="1498"/>
      <c r="R115" s="1498"/>
      <c r="S115" s="1498"/>
      <c r="T115" s="1498"/>
      <c r="U115" s="1498"/>
      <c r="V115" s="1498"/>
      <c r="W115" s="1498"/>
      <c r="X115" s="1498"/>
      <c r="Y115" s="1498"/>
      <c r="Z115" s="1498"/>
      <c r="AG115" s="1337" t="e">
        <f>VLOOKUP(Type2_2&amp;Sous_type2_2,Ferti_Cultures!$AY$73:$AZ$122,2,FALSE)</f>
        <v>#N/A</v>
      </c>
      <c r="AH115" s="1337" t="e">
        <f>VLOOKUP(Type2_2&amp;Sous_type2_2,Ferti_Cultures!$AY$73:$BA$122,3,FALSE)</f>
        <v>#N/A</v>
      </c>
    </row>
    <row r="116" spans="1:34" ht="30" customHeight="1" x14ac:dyDescent="0.2">
      <c r="A116" s="3141" t="s">
        <v>2245</v>
      </c>
      <c r="B116" s="3141"/>
      <c r="C116" s="3141"/>
      <c r="D116" s="3141"/>
      <c r="E116" s="3141"/>
      <c r="F116" s="3141"/>
      <c r="G116" s="2128"/>
      <c r="H116" s="2128"/>
      <c r="I116" s="2124"/>
      <c r="J116" s="2125" t="e">
        <f>0.01*J114*AF116</f>
        <v>#VALUE!</v>
      </c>
      <c r="K116" s="3142" t="e">
        <f>$AH$114&amp;" par ha de "&amp;Type1_2&amp;Sous_type1_2&amp;" fournissant "&amp;ROUND(J116*AG114,0)&amp;" kg N par ha"</f>
        <v>#N/A</v>
      </c>
      <c r="L116" s="3143"/>
      <c r="M116" s="3143"/>
      <c r="N116" s="3143"/>
      <c r="O116" s="1498"/>
      <c r="P116" s="1498"/>
      <c r="Q116" s="1498"/>
      <c r="R116" s="1498"/>
      <c r="S116" s="1498"/>
      <c r="T116" s="1498"/>
      <c r="U116" s="1498"/>
      <c r="V116" s="1498"/>
      <c r="W116" s="1498"/>
      <c r="X116" s="1498"/>
      <c r="Y116" s="1498"/>
      <c r="Z116" s="1498"/>
      <c r="AF116" s="2122">
        <v>50</v>
      </c>
      <c r="AG116" s="2121" t="s">
        <v>2247</v>
      </c>
    </row>
    <row r="117" spans="1:34" ht="25.5" customHeight="1" x14ac:dyDescent="0.2">
      <c r="A117" s="3141"/>
      <c r="B117" s="3141"/>
      <c r="C117" s="3141"/>
      <c r="D117" s="3141"/>
      <c r="E117" s="3141"/>
      <c r="F117" s="3141"/>
      <c r="G117" s="2128"/>
      <c r="H117" s="2128"/>
      <c r="I117" s="2123"/>
      <c r="J117" s="2021" t="e">
        <f>(J110-J116*AG114)/AG115</f>
        <v>#VALUE!</v>
      </c>
      <c r="K117" s="3142" t="e">
        <f>$AH$115&amp;" par ha de "&amp;Type2_2&amp;Sous_type2_2&amp;" fournissant "&amp;ROUND(J117*AG115,0)&amp;" kg N par ha"</f>
        <v>#N/A</v>
      </c>
      <c r="L117" s="3143"/>
      <c r="M117" s="3143"/>
      <c r="N117" s="3143"/>
      <c r="O117" s="1498"/>
      <c r="P117" s="1498"/>
      <c r="Q117" s="1498"/>
      <c r="R117" s="1498"/>
      <c r="S117" s="1498"/>
      <c r="T117" s="1498"/>
      <c r="U117" s="1498"/>
      <c r="V117" s="1498"/>
      <c r="W117" s="1498"/>
      <c r="X117" s="1498"/>
      <c r="Y117" s="1498"/>
      <c r="Z117" s="1498"/>
    </row>
    <row r="118" spans="1:34" x14ac:dyDescent="0.2">
      <c r="A118" s="1164"/>
      <c r="B118" s="1233" t="str">
        <f>IF(ISBLANK(Priorite_Epand2),"",IF(Priorite_Epand2=2,"Cultures",""))</f>
        <v/>
      </c>
      <c r="C118" s="1164"/>
      <c r="D118" s="1164"/>
      <c r="E118" s="1164"/>
      <c r="F118" s="1260" t="str">
        <f>IF($AB$99=2,"Surface (ha)","")</f>
        <v/>
      </c>
      <c r="G118" s="1164"/>
      <c r="H118" s="1260" t="str">
        <f>IF($AB$99=2,"Dose brute N / ha","")</f>
        <v/>
      </c>
      <c r="I118" s="1164"/>
      <c r="J118" s="1260" t="str">
        <f>IF($AB$99=2,"Kg N totaux","")</f>
        <v/>
      </c>
      <c r="K118" s="1264"/>
      <c r="L118" s="1164"/>
      <c r="M118" s="2023"/>
      <c r="N118" s="2023"/>
      <c r="O118" s="1498"/>
      <c r="P118" s="1498"/>
      <c r="Q118" s="1498"/>
      <c r="R118" s="1498"/>
      <c r="S118" s="1498"/>
      <c r="T118" s="1498"/>
      <c r="U118" s="1498"/>
      <c r="V118" s="1498"/>
      <c r="W118" s="1498"/>
      <c r="X118" s="1498"/>
      <c r="Y118" s="1498"/>
      <c r="Z118" s="1498"/>
      <c r="AF118" s="1337">
        <v>2</v>
      </c>
      <c r="AG118" s="1337" t="e">
        <f>IF(ISBLANK(HLOOKUP($D$114,Ferti_Cultures!$BC$71:$BH$93,AF118,FALSE)),"",HLOOKUP($D$114,Ferti_Cultures!$BC$71:$BH$93,AF118,FALSE))</f>
        <v>#N/A</v>
      </c>
      <c r="AH118" s="1337" t="e">
        <f>IF(ISBLANK(HLOOKUP($D$115,Ferti_Cultures!$BC$71:$BH$93,AF118,FALSE)),"",HLOOKUP($D$115,Ferti_Cultures!$BC$71:$BH$93,AF118,FALSE))</f>
        <v>#N/A</v>
      </c>
    </row>
    <row r="119" spans="1:34" x14ac:dyDescent="0.2">
      <c r="A119" s="1164"/>
      <c r="B119" s="1233" t="str">
        <f>IF(ISBLANK(Priorite_Epand2),"",IF(Priorite_Epand2=2,"  ● Céréales 1",""))</f>
        <v/>
      </c>
      <c r="C119" s="1164"/>
      <c r="D119" s="1164"/>
      <c r="E119" s="1164"/>
      <c r="F119" s="1261"/>
      <c r="G119" s="1164"/>
      <c r="H119" s="1261"/>
      <c r="I119" s="1164"/>
      <c r="J119" s="1287">
        <f>F119*H119</f>
        <v>0</v>
      </c>
      <c r="K119" s="1164" t="str">
        <f>IF($AB$99=2," kg N","")</f>
        <v/>
      </c>
      <c r="L119" s="1164"/>
      <c r="M119" s="3162" t="str">
        <f>IF(J109&lt;0.95*J124,"Le total que vous prévoyez d'épandre sur cultures est supérieur au disponible. Vous devez réviser vos doses ou vos surfaces d'épandage",IF(J109&gt;1.05*J124,"Reprendre le calcul en exportant davantage",""))</f>
        <v/>
      </c>
      <c r="N119" s="3162"/>
      <c r="O119" s="1498"/>
      <c r="P119" s="1498"/>
      <c r="Q119" s="1498"/>
      <c r="R119" s="1498"/>
      <c r="S119" s="1498"/>
      <c r="T119" s="1498"/>
      <c r="U119" s="1498"/>
      <c r="V119" s="1498"/>
      <c r="W119" s="1498"/>
      <c r="X119" s="1498"/>
      <c r="Y119" s="1498"/>
      <c r="Z119" s="1498"/>
      <c r="AF119" s="1337">
        <v>3</v>
      </c>
      <c r="AG119" s="1337" t="e">
        <f>IF(ISBLANK(HLOOKUP($D$114,Ferti_Cultures!$BC$71:$BH$93,AF119,FALSE)),"",HLOOKUP($D$114,Ferti_Cultures!$BC$71:$BH$93,AF119,FALSE))</f>
        <v>#N/A</v>
      </c>
      <c r="AH119" s="1337" t="e">
        <f>IF(ISBLANK(HLOOKUP($D$115,Ferti_Cultures!$BC$71:$BH$93,AF119,FALSE)),"",HLOOKUP($D$115,Ferti_Cultures!$BC$71:$BH$93,AF119,FALSE))</f>
        <v>#N/A</v>
      </c>
    </row>
    <row r="120" spans="1:34" x14ac:dyDescent="0.2">
      <c r="A120" s="1164"/>
      <c r="B120" s="1233" t="str">
        <f>IF(ISBLANK(Priorite_Epand2),"",IF(Priorite_Epand2=2,"  ● Céréales 2",""))</f>
        <v/>
      </c>
      <c r="C120" s="1164"/>
      <c r="D120" s="1164"/>
      <c r="E120" s="1164"/>
      <c r="F120" s="1261"/>
      <c r="G120" s="1164"/>
      <c r="H120" s="1261"/>
      <c r="I120" s="1164"/>
      <c r="J120" s="1287">
        <f>F120*H120</f>
        <v>0</v>
      </c>
      <c r="K120" s="1164" t="str">
        <f>IF($AB$99=2," kg N","")</f>
        <v/>
      </c>
      <c r="L120" s="1164"/>
      <c r="M120" s="3162"/>
      <c r="N120" s="3162"/>
      <c r="O120" s="1498"/>
      <c r="P120" s="1498"/>
      <c r="Q120" s="1498"/>
      <c r="R120" s="1498"/>
      <c r="S120" s="1498"/>
      <c r="T120" s="1498"/>
      <c r="U120" s="1498"/>
      <c r="V120" s="1498"/>
      <c r="W120" s="1498"/>
      <c r="X120" s="1498"/>
      <c r="Y120" s="1498"/>
      <c r="Z120" s="1498"/>
      <c r="AF120" s="1337">
        <v>4</v>
      </c>
      <c r="AG120" s="1337" t="e">
        <f>IF(ISBLANK(HLOOKUP($D$114,Ferti_Cultures!$BC$71:$BH$93,AF120,FALSE)),"",HLOOKUP($D$114,Ferti_Cultures!$BC$71:$BH$93,AF120,FALSE))</f>
        <v>#N/A</v>
      </c>
      <c r="AH120" s="1337" t="e">
        <f>IF(ISBLANK(HLOOKUP($D$115,Ferti_Cultures!$BC$71:$BH$93,AF120,FALSE)),"",HLOOKUP($D$115,Ferti_Cultures!$BC$71:$BH$93,AF120,FALSE))</f>
        <v>#N/A</v>
      </c>
    </row>
    <row r="121" spans="1:34" x14ac:dyDescent="0.2">
      <c r="A121" s="1164"/>
      <c r="B121" s="1233" t="str">
        <f>IF(ISBLANK(Priorite_Epand2),"",IF(Priorite_Epand2=2,"  ● Maïs",""))</f>
        <v/>
      </c>
      <c r="C121" s="1164"/>
      <c r="D121" s="1164"/>
      <c r="E121" s="1164"/>
      <c r="F121" s="1261"/>
      <c r="G121" s="1164"/>
      <c r="H121" s="1261"/>
      <c r="I121" s="1164"/>
      <c r="J121" s="1287">
        <f>F121*H121</f>
        <v>0</v>
      </c>
      <c r="K121" s="1164" t="str">
        <f>IF($AB$99=2," kg N","")</f>
        <v/>
      </c>
      <c r="L121" s="1164"/>
      <c r="M121" s="3162"/>
      <c r="N121" s="3162"/>
      <c r="O121" s="1498"/>
      <c r="P121" s="1498"/>
      <c r="Q121" s="1498"/>
      <c r="R121" s="1498"/>
      <c r="S121" s="1498"/>
      <c r="T121" s="1498"/>
      <c r="U121" s="1498"/>
      <c r="V121" s="1498"/>
      <c r="W121" s="1498"/>
      <c r="X121" s="1498"/>
      <c r="Y121" s="1498"/>
      <c r="Z121" s="1498"/>
      <c r="AF121" s="1337">
        <v>5</v>
      </c>
      <c r="AG121" s="1337" t="e">
        <f>IF(ISBLANK(HLOOKUP($D$114,Ferti_Cultures!$BC$71:$BH$93,AF121,FALSE)),"",HLOOKUP($D$114,Ferti_Cultures!$BC$71:$BH$93,AF121,FALSE))</f>
        <v>#N/A</v>
      </c>
      <c r="AH121" s="1337" t="e">
        <f>IF(ISBLANK(HLOOKUP($D$115,Ferti_Cultures!$BC$71:$BH$93,AF121,FALSE)),"",HLOOKUP($D$115,Ferti_Cultures!$BC$71:$BH$93,AF121,FALSE))</f>
        <v>#N/A</v>
      </c>
    </row>
    <row r="122" spans="1:34" x14ac:dyDescent="0.2">
      <c r="A122" s="1164"/>
      <c r="B122" s="1233" t="str">
        <f>IF(ISBLANK(Priorite_Epand2),"",IF(Priorite_Epand2=2,"  ● Autre culture 1",""))</f>
        <v/>
      </c>
      <c r="C122" s="1164"/>
      <c r="D122" s="1164"/>
      <c r="E122" s="1164"/>
      <c r="F122" s="1261"/>
      <c r="G122" s="1164"/>
      <c r="H122" s="1261"/>
      <c r="I122" s="1164"/>
      <c r="J122" s="1287">
        <f>F122*H122</f>
        <v>0</v>
      </c>
      <c r="K122" s="1164" t="str">
        <f>IF($AB$99=2," kg N","")</f>
        <v/>
      </c>
      <c r="L122" s="1164"/>
      <c r="M122" s="3162"/>
      <c r="N122" s="3162"/>
      <c r="O122" s="1498"/>
      <c r="P122" s="1498"/>
      <c r="Q122" s="1498"/>
      <c r="R122" s="1498"/>
      <c r="S122" s="1498"/>
      <c r="T122" s="1498"/>
      <c r="U122" s="1498"/>
      <c r="V122" s="1498"/>
      <c r="W122" s="1498"/>
      <c r="X122" s="1498"/>
      <c r="Y122" s="1498"/>
      <c r="Z122" s="1498"/>
      <c r="AF122" s="1337">
        <v>6</v>
      </c>
      <c r="AG122" s="1337" t="e">
        <f>IF(ISBLANK(HLOOKUP($D$114,Ferti_Cultures!$BC$71:$BH$93,AF122,FALSE)),"",HLOOKUP($D$114,Ferti_Cultures!$BC$71:$BH$93,AF122,FALSE))</f>
        <v>#N/A</v>
      </c>
      <c r="AH122" s="1337" t="e">
        <f>IF(ISBLANK(HLOOKUP($D$115,Ferti_Cultures!$BC$71:$BH$93,AF122,FALSE)),"",HLOOKUP($D$115,Ferti_Cultures!$BC$71:$BH$93,AF122,FALSE))</f>
        <v>#N/A</v>
      </c>
    </row>
    <row r="123" spans="1:34" x14ac:dyDescent="0.2">
      <c r="A123" s="1164"/>
      <c r="B123" s="1233" t="str">
        <f>IF(ISBLANK(Priorite_Epand2),"",IF(Priorite_Epand2=2,"  ● Autre culture 2",""))</f>
        <v/>
      </c>
      <c r="C123" s="1164"/>
      <c r="D123" s="1164"/>
      <c r="E123" s="1164"/>
      <c r="F123" s="1261"/>
      <c r="G123" s="1164"/>
      <c r="H123" s="1261"/>
      <c r="I123" s="1164"/>
      <c r="J123" s="1287">
        <f>F123*H123</f>
        <v>0</v>
      </c>
      <c r="K123" s="1164" t="str">
        <f>IF($AB$99=2," kg N","")</f>
        <v/>
      </c>
      <c r="L123" s="1164"/>
      <c r="M123" s="3162"/>
      <c r="N123" s="3162"/>
      <c r="O123" s="1498"/>
      <c r="P123" s="1498"/>
      <c r="Q123" s="1498"/>
      <c r="R123" s="1498"/>
      <c r="S123" s="1498"/>
      <c r="T123" s="1498"/>
      <c r="U123" s="1498"/>
      <c r="V123" s="1498"/>
      <c r="W123" s="1498"/>
      <c r="X123" s="1498"/>
      <c r="Y123" s="1498"/>
      <c r="Z123" s="1498"/>
      <c r="AF123" s="1337">
        <v>7</v>
      </c>
      <c r="AG123" s="1337" t="e">
        <f>IF(ISBLANK(HLOOKUP($D$114,Ferti_Cultures!$BC$71:$BH$93,AF123,FALSE)),"",HLOOKUP($D$114,Ferti_Cultures!$BC$71:$BH$93,AF123,FALSE))</f>
        <v>#N/A</v>
      </c>
      <c r="AH123" s="1337" t="e">
        <f>IF(ISBLANK(HLOOKUP($D$115,Ferti_Cultures!$BC$71:$BH$93,AF123,FALSE)),"",HLOOKUP($D$115,Ferti_Cultures!$BC$71:$BH$93,AF123,FALSE))</f>
        <v>#N/A</v>
      </c>
    </row>
    <row r="124" spans="1:34" x14ac:dyDescent="0.2">
      <c r="A124" s="1164"/>
      <c r="B124" s="1164"/>
      <c r="C124" s="1164"/>
      <c r="D124" s="1164"/>
      <c r="E124" s="1164"/>
      <c r="F124" s="1164"/>
      <c r="G124" s="1164"/>
      <c r="H124" s="1164"/>
      <c r="I124" s="1322" t="str">
        <f>IF($AB$99=2,"Total ","")</f>
        <v/>
      </c>
      <c r="J124" s="1323">
        <f>SUM(J119:J123)</f>
        <v>0</v>
      </c>
      <c r="K124" s="1164" t="str">
        <f>IF($AB$99=2," kg N totaux","")</f>
        <v/>
      </c>
      <c r="L124" s="1164"/>
      <c r="M124" s="3162"/>
      <c r="N124" s="3162"/>
      <c r="O124" s="1498"/>
      <c r="P124" s="1498"/>
      <c r="Q124" s="1498"/>
      <c r="R124" s="1498"/>
      <c r="S124" s="1498"/>
      <c r="T124" s="1498"/>
      <c r="U124" s="1498"/>
      <c r="V124" s="1498"/>
      <c r="W124" s="1498"/>
      <c r="X124" s="1498"/>
      <c r="Y124" s="1498"/>
      <c r="Z124" s="1498"/>
      <c r="AF124" s="1337">
        <v>8</v>
      </c>
      <c r="AG124" s="1337" t="e">
        <f>IF(ISBLANK(HLOOKUP($D$114,Ferti_Cultures!$BC$71:$BH$93,AF124,FALSE)),"",HLOOKUP($D$114,Ferti_Cultures!$BC$71:$BH$93,AF124,FALSE))</f>
        <v>#N/A</v>
      </c>
      <c r="AH124" s="1337" t="e">
        <f>IF(ISBLANK(HLOOKUP($D$115,Ferti_Cultures!$BC$71:$BH$93,AF124,FALSE)),"",HLOOKUP($D$115,Ferti_Cultures!$BC$71:$BH$93,AF124,FALSE))</f>
        <v>#N/A</v>
      </c>
    </row>
    <row r="125" spans="1:34" ht="5.0999999999999996" customHeight="1" x14ac:dyDescent="0.2">
      <c r="A125" s="1164"/>
      <c r="B125" s="1164"/>
      <c r="C125" s="1164"/>
      <c r="D125" s="1164"/>
      <c r="E125" s="1164"/>
      <c r="F125" s="1164"/>
      <c r="G125" s="1164"/>
      <c r="H125" s="1164"/>
      <c r="I125" s="1164"/>
      <c r="J125" s="1164"/>
      <c r="K125" s="1164"/>
      <c r="L125" s="1164"/>
      <c r="M125" s="1338"/>
      <c r="N125" s="1338"/>
      <c r="O125" s="1498"/>
      <c r="P125" s="1498"/>
      <c r="Q125" s="1498"/>
      <c r="R125" s="1498"/>
      <c r="S125" s="1498"/>
      <c r="T125" s="1498"/>
      <c r="U125" s="1498"/>
      <c r="V125" s="1498"/>
      <c r="W125" s="1498"/>
      <c r="X125" s="1498"/>
      <c r="Y125" s="1498"/>
      <c r="Z125" s="1498"/>
      <c r="AF125" s="1337">
        <v>9</v>
      </c>
      <c r="AG125" s="1337" t="e">
        <f>IF(ISBLANK(HLOOKUP($D$114,Ferti_Cultures!$BC$71:$BH$93,AF125,FALSE)),"",HLOOKUP($D$114,Ferti_Cultures!$BC$71:$BH$93,AF125,FALSE))</f>
        <v>#N/A</v>
      </c>
      <c r="AH125" s="1337" t="e">
        <f>IF(ISBLANK(HLOOKUP($D$115,Ferti_Cultures!$BC$71:$BH$93,AF125,FALSE)),"",HLOOKUP($D$115,Ferti_Cultures!$BC$71:$BH$93,AF125,FALSE))</f>
        <v>#N/A</v>
      </c>
    </row>
    <row r="126" spans="1:34" x14ac:dyDescent="0.2">
      <c r="A126" s="1164"/>
      <c r="B126" s="1164"/>
      <c r="C126" s="1677" t="s">
        <v>1418</v>
      </c>
      <c r="D126" s="1677"/>
      <c r="E126" s="1677"/>
      <c r="F126" s="1677"/>
      <c r="G126" s="1677"/>
      <c r="H126" s="1677"/>
      <c r="I126" s="3140" t="s">
        <v>2384</v>
      </c>
      <c r="J126" s="3140"/>
      <c r="K126" s="3140"/>
      <c r="L126" s="3140"/>
      <c r="M126" s="3140"/>
      <c r="N126" s="3151" t="s">
        <v>2020</v>
      </c>
      <c r="O126" s="3151"/>
      <c r="P126" s="3151"/>
      <c r="Q126" s="1498"/>
      <c r="R126" s="1498"/>
      <c r="S126" s="1498"/>
      <c r="T126" s="1498"/>
      <c r="U126" s="1498"/>
      <c r="V126" s="1498"/>
      <c r="W126" s="1498"/>
      <c r="X126" s="1498"/>
      <c r="Y126" s="1498"/>
      <c r="Z126" s="1498"/>
      <c r="AF126" s="1337">
        <v>10</v>
      </c>
      <c r="AG126" s="1337" t="e">
        <f>IF(ISBLANK(HLOOKUP($D$114,Ferti_Cultures!$BC$71:$BH$93,AF126,FALSE)),"",HLOOKUP($D$114,Ferti_Cultures!$BC$71:$BH$93,AF126,FALSE))</f>
        <v>#N/A</v>
      </c>
      <c r="AH126" s="1337" t="e">
        <f>IF(ISBLANK(HLOOKUP($D$115,Ferti_Cultures!$BC$71:$BH$93,AF126,FALSE)),"",HLOOKUP($D$115,Ferti_Cultures!$BC$71:$BH$93,AF126,FALSE))</f>
        <v>#N/A</v>
      </c>
    </row>
    <row r="127" spans="1:34" x14ac:dyDescent="0.2">
      <c r="A127" s="1164"/>
      <c r="B127" s="1164"/>
      <c r="C127" s="1677" t="s">
        <v>1089</v>
      </c>
      <c r="D127" s="1677"/>
      <c r="E127" s="1677" t="s">
        <v>1093</v>
      </c>
      <c r="F127" s="1677"/>
      <c r="G127" s="1677"/>
      <c r="H127" s="1677"/>
      <c r="I127" s="3140"/>
      <c r="J127" s="3140"/>
      <c r="K127" s="3140"/>
      <c r="L127" s="3140"/>
      <c r="M127" s="3140"/>
      <c r="N127" s="3151"/>
      <c r="O127" s="3151"/>
      <c r="P127" s="3151"/>
      <c r="Q127" s="1498"/>
      <c r="R127" s="1498"/>
      <c r="S127" s="1498"/>
      <c r="T127" s="1498"/>
      <c r="U127" s="1498"/>
      <c r="V127" s="1498"/>
      <c r="W127" s="1498"/>
      <c r="X127" s="1498"/>
      <c r="Y127" s="1498"/>
      <c r="Z127" s="1498"/>
      <c r="AF127" s="1337">
        <v>11</v>
      </c>
      <c r="AG127" s="1337" t="e">
        <f>IF(ISBLANK(HLOOKUP($D$114,Ferti_Cultures!$BC$71:$BH$93,AF127,FALSE)),"",HLOOKUP($D$114,Ferti_Cultures!$BC$71:$BH$93,AF127,FALSE))</f>
        <v>#N/A</v>
      </c>
      <c r="AH127" s="1337" t="e">
        <f>IF(ISBLANK(HLOOKUP($D$115,Ferti_Cultures!$BC$71:$BH$93,AF127,FALSE)),"",HLOOKUP($D$115,Ferti_Cultures!$BC$71:$BH$93,AF127,FALSE))</f>
        <v>#N/A</v>
      </c>
    </row>
    <row r="128" spans="1:34" x14ac:dyDescent="0.2">
      <c r="A128" s="1164"/>
      <c r="B128" s="1164"/>
      <c r="C128" s="1677" t="s">
        <v>1092</v>
      </c>
      <c r="D128" s="1677"/>
      <c r="E128" s="1677" t="s">
        <v>1304</v>
      </c>
      <c r="F128" s="1677"/>
      <c r="G128" s="1677"/>
      <c r="H128" s="1677"/>
      <c r="I128" s="3140"/>
      <c r="J128" s="3140"/>
      <c r="K128" s="3140"/>
      <c r="L128" s="3140"/>
      <c r="M128" s="3140"/>
      <c r="N128" s="3151"/>
      <c r="O128" s="3151"/>
      <c r="P128" s="3151"/>
      <c r="Q128" s="1498"/>
      <c r="R128" s="1498"/>
      <c r="S128" s="1498"/>
      <c r="T128" s="1498"/>
      <c r="U128" s="1498"/>
      <c r="V128" s="1498"/>
      <c r="W128" s="1498"/>
      <c r="X128" s="1498"/>
      <c r="Y128" s="1498"/>
      <c r="Z128" s="1498"/>
      <c r="AF128" s="1337">
        <v>12</v>
      </c>
      <c r="AG128" s="1337" t="e">
        <f>IF(ISBLANK(HLOOKUP($D$114,Ferti_Cultures!$BC$71:$BH$93,AF128,FALSE)),"",HLOOKUP($D$114,Ferti_Cultures!$BC$71:$BH$93,AF128,FALSE))</f>
        <v>#N/A</v>
      </c>
      <c r="AH128" s="1337" t="e">
        <f>IF(ISBLANK(HLOOKUP($D$115,Ferti_Cultures!$BC$71:$BH$93,AF128,FALSE)),"",HLOOKUP($D$115,Ferti_Cultures!$BC$71:$BH$93,AF128,FALSE))</f>
        <v>#N/A</v>
      </c>
    </row>
    <row r="129" spans="1:34" x14ac:dyDescent="0.2">
      <c r="A129" s="1164"/>
      <c r="B129" s="1164"/>
      <c r="C129" s="1677" t="s">
        <v>1090</v>
      </c>
      <c r="D129" s="1677"/>
      <c r="E129" s="1677" t="s">
        <v>1094</v>
      </c>
      <c r="F129" s="1677"/>
      <c r="G129" s="1677"/>
      <c r="H129" s="1677"/>
      <c r="I129" s="3140"/>
      <c r="J129" s="3140"/>
      <c r="K129" s="3140"/>
      <c r="L129" s="3140"/>
      <c r="M129" s="3140"/>
      <c r="N129" s="3151"/>
      <c r="O129" s="3151"/>
      <c r="P129" s="3151"/>
      <c r="Q129" s="1498"/>
      <c r="R129" s="1498"/>
      <c r="S129" s="1498"/>
      <c r="T129" s="1498"/>
      <c r="U129" s="1498"/>
      <c r="V129" s="1498"/>
      <c r="W129" s="1498"/>
      <c r="X129" s="1498"/>
      <c r="Y129" s="1498"/>
      <c r="Z129" s="1498"/>
      <c r="AF129" s="1337">
        <v>13</v>
      </c>
      <c r="AG129" s="1337" t="e">
        <f>IF(ISBLANK(HLOOKUP($D$114,Ferti_Cultures!$BC$71:$BH$93,AF129,FALSE)),"",HLOOKUP($D$114,Ferti_Cultures!$BC$71:$BH$93,AF129,FALSE))</f>
        <v>#N/A</v>
      </c>
      <c r="AH129" s="1337" t="e">
        <f>IF(ISBLANK(HLOOKUP($D$115,Ferti_Cultures!$BC$71:$BH$93,AF129,FALSE)),"",HLOOKUP($D$115,Ferti_Cultures!$BC$71:$BH$93,AF129,FALSE))</f>
        <v>#N/A</v>
      </c>
    </row>
    <row r="130" spans="1:34" x14ac:dyDescent="0.2">
      <c r="A130" s="1164"/>
      <c r="B130" s="1164"/>
      <c r="C130" s="1677" t="s">
        <v>1091</v>
      </c>
      <c r="D130" s="1677"/>
      <c r="E130" s="1677" t="s">
        <v>2165</v>
      </c>
      <c r="F130" s="1677"/>
      <c r="G130" s="1677"/>
      <c r="H130" s="1677"/>
      <c r="I130" s="3140"/>
      <c r="J130" s="3140"/>
      <c r="K130" s="3140"/>
      <c r="L130" s="3140"/>
      <c r="M130" s="3140"/>
      <c r="N130" s="3151"/>
      <c r="O130" s="3151"/>
      <c r="P130" s="3151"/>
      <c r="Q130" s="1498"/>
      <c r="R130" s="1498"/>
      <c r="S130" s="1498"/>
      <c r="T130" s="1498"/>
      <c r="U130" s="1498"/>
      <c r="V130" s="1498"/>
      <c r="W130" s="1498"/>
      <c r="X130" s="1498"/>
      <c r="Y130" s="1498"/>
      <c r="Z130" s="1498"/>
      <c r="AF130" s="1337">
        <v>14</v>
      </c>
      <c r="AG130" s="1337" t="e">
        <f>IF(ISBLANK(HLOOKUP($D$114,Ferti_Cultures!$BC$71:$BH$93,AF130,FALSE)),"",HLOOKUP($D$114,Ferti_Cultures!$BC$71:$BH$93,AF130,FALSE))</f>
        <v>#N/A</v>
      </c>
      <c r="AH130" s="1337" t="e">
        <f>IF(ISBLANK(HLOOKUP($D$115,Ferti_Cultures!$BC$71:$BH$93,AF130,FALSE)),"",HLOOKUP($D$115,Ferti_Cultures!$BC$71:$BH$93,AF130,FALSE))</f>
        <v>#N/A</v>
      </c>
    </row>
    <row r="131" spans="1:34" x14ac:dyDescent="0.2">
      <c r="A131" s="1164"/>
      <c r="B131" s="1164"/>
      <c r="C131" s="1164"/>
      <c r="D131" s="1164"/>
      <c r="E131" s="1164"/>
      <c r="F131" s="1164"/>
      <c r="G131" s="1164"/>
      <c r="H131" s="1164"/>
      <c r="I131" s="1164"/>
      <c r="J131" s="1164"/>
      <c r="K131" s="1164"/>
      <c r="L131" s="1164"/>
      <c r="M131" s="1164"/>
      <c r="N131" s="1338"/>
      <c r="O131" s="1498"/>
      <c r="P131" s="1498"/>
      <c r="Q131" s="1498"/>
      <c r="R131" s="1498"/>
      <c r="S131" s="1498"/>
      <c r="T131" s="1498"/>
      <c r="U131" s="1498"/>
      <c r="V131" s="1498"/>
      <c r="W131" s="1498"/>
      <c r="X131" s="1498"/>
      <c r="Y131" s="1498"/>
      <c r="Z131" s="1498"/>
      <c r="AF131" s="1337">
        <v>15</v>
      </c>
      <c r="AG131" s="1337" t="e">
        <f>IF(ISBLANK(HLOOKUP($D$114,Ferti_Cultures!$BC$71:$BH$93,AF131,FALSE)),"",HLOOKUP($D$114,Ferti_Cultures!$BC$71:$BH$93,AF131,FALSE))</f>
        <v>#N/A</v>
      </c>
      <c r="AH131" s="1337" t="e">
        <f>IF(ISBLANK(HLOOKUP($D$115,Ferti_Cultures!$BC$71:$BH$93,AF131,FALSE)),"",HLOOKUP($D$115,Ferti_Cultures!$BC$71:$BH$93,AF131,FALSE))</f>
        <v>#N/A</v>
      </c>
    </row>
    <row r="132" spans="1:34" x14ac:dyDescent="0.2">
      <c r="A132" s="1164"/>
      <c r="B132" s="1164"/>
      <c r="C132" s="1164"/>
      <c r="D132" s="1164"/>
      <c r="E132" s="1164"/>
      <c r="F132" s="1164"/>
      <c r="G132" s="1164"/>
      <c r="H132" s="1164"/>
      <c r="I132" s="1164"/>
      <c r="J132" s="1164"/>
      <c r="K132" s="1164"/>
      <c r="L132" s="1164"/>
      <c r="M132" s="1164"/>
      <c r="N132" s="1338"/>
      <c r="O132" s="1498"/>
      <c r="P132" s="1498"/>
      <c r="Q132" s="1498"/>
      <c r="R132" s="1498"/>
      <c r="S132" s="1498"/>
      <c r="T132" s="1498"/>
      <c r="U132" s="1498"/>
      <c r="V132" s="1498"/>
      <c r="W132" s="1498"/>
      <c r="X132" s="1498"/>
      <c r="Y132" s="1498"/>
      <c r="Z132" s="1498"/>
      <c r="AF132" s="1337">
        <v>16</v>
      </c>
      <c r="AG132" s="1337" t="e">
        <f>IF(ISBLANK(HLOOKUP($D$114,Ferti_Cultures!$BC$71:$BH$93,AF132,FALSE)),"",HLOOKUP($D$114,Ferti_Cultures!$BC$71:$BH$93,AF132,FALSE))</f>
        <v>#N/A</v>
      </c>
      <c r="AH132" s="1337" t="e">
        <f>IF(ISBLANK(HLOOKUP($D$115,Ferti_Cultures!$BC$71:$BH$93,AF132,FALSE)),"",HLOOKUP($D$115,Ferti_Cultures!$BC$71:$BH$93,AF132,FALSE))</f>
        <v>#N/A</v>
      </c>
    </row>
    <row r="133" spans="1:34" x14ac:dyDescent="0.2">
      <c r="AF133" s="1337">
        <v>17</v>
      </c>
      <c r="AG133" s="1337" t="e">
        <f>IF(ISBLANK(HLOOKUP($D$114,Ferti_Cultures!$BC$71:$BH$93,AF133,FALSE)),"",HLOOKUP($D$114,Ferti_Cultures!$BC$71:$BH$93,AF133,FALSE))</f>
        <v>#N/A</v>
      </c>
      <c r="AH133" s="1337" t="e">
        <f>IF(ISBLANK(HLOOKUP($D$115,Ferti_Cultures!$BC$71:$BH$93,AF133,FALSE)),"",HLOOKUP($D$115,Ferti_Cultures!$BC$71:$BH$93,AF133,FALSE))</f>
        <v>#N/A</v>
      </c>
    </row>
    <row r="134" spans="1:34" x14ac:dyDescent="0.2">
      <c r="AF134" s="1337">
        <v>18</v>
      </c>
      <c r="AG134" s="1337" t="e">
        <f>IF(ISBLANK(HLOOKUP($D$114,Ferti_Cultures!$BC$71:$BH$93,AF134,FALSE)),"",HLOOKUP($D$114,Ferti_Cultures!$BC$71:$BH$93,AF134,FALSE))</f>
        <v>#N/A</v>
      </c>
      <c r="AH134" s="1337" t="e">
        <f>IF(ISBLANK(HLOOKUP($D$115,Ferti_Cultures!$BC$71:$BH$93,AF134,FALSE)),"",HLOOKUP($D$115,Ferti_Cultures!$BC$71:$BH$93,AF134,FALSE))</f>
        <v>#N/A</v>
      </c>
    </row>
    <row r="135" spans="1:34" x14ac:dyDescent="0.2">
      <c r="AF135" s="1337">
        <v>19</v>
      </c>
      <c r="AG135" s="1337" t="e">
        <f>IF(ISBLANK(HLOOKUP($D$114,Ferti_Cultures!$BC$71:$BH$93,AF135,FALSE)),"",HLOOKUP($D$114,Ferti_Cultures!$BC$71:$BH$93,AF135,FALSE))</f>
        <v>#N/A</v>
      </c>
      <c r="AH135" s="1337" t="e">
        <f>IF(ISBLANK(HLOOKUP($D$115,Ferti_Cultures!$BC$71:$BH$93,AF135,FALSE)),"",HLOOKUP($D$115,Ferti_Cultures!$BC$71:$BH$93,AF135,FALSE))</f>
        <v>#N/A</v>
      </c>
    </row>
    <row r="136" spans="1:34" x14ac:dyDescent="0.2">
      <c r="AF136" s="1337">
        <v>20</v>
      </c>
      <c r="AG136" s="1337" t="e">
        <f>IF(ISBLANK(HLOOKUP($D$114,Ferti_Cultures!$BC$71:$BH$93,AF136,FALSE)),"",HLOOKUP($D$114,Ferti_Cultures!$BC$71:$BH$93,AF136,FALSE))</f>
        <v>#N/A</v>
      </c>
      <c r="AH136" s="1337" t="e">
        <f>IF(ISBLANK(HLOOKUP($D$115,Ferti_Cultures!$BC$71:$BH$93,AF136,FALSE)),"",HLOOKUP($D$115,Ferti_Cultures!$BC$71:$BH$93,AF136,FALSE))</f>
        <v>#N/A</v>
      </c>
    </row>
    <row r="137" spans="1:34" x14ac:dyDescent="0.2">
      <c r="AF137" s="1337">
        <v>21</v>
      </c>
      <c r="AG137" s="1337" t="e">
        <f>IF(ISBLANK(HLOOKUP($D$114,Ferti_Cultures!$BC$71:$BH$93,AF137,FALSE)),"",HLOOKUP($D$114,Ferti_Cultures!$BC$71:$BH$93,AF137,FALSE))</f>
        <v>#N/A</v>
      </c>
      <c r="AH137" s="1337" t="e">
        <f>IF(ISBLANK(HLOOKUP($D$115,Ferti_Cultures!$BC$71:$BH$93,AF137,FALSE)),"",HLOOKUP($D$115,Ferti_Cultures!$BC$71:$BH$93,AF137,FALSE))</f>
        <v>#N/A</v>
      </c>
    </row>
    <row r="138" spans="1:34" x14ac:dyDescent="0.2">
      <c r="AF138" s="1337">
        <v>22</v>
      </c>
      <c r="AG138" s="1337" t="e">
        <f>IF(ISBLANK(HLOOKUP($D$114,Ferti_Cultures!$BC$71:$BH$93,AF138,FALSE)),"",HLOOKUP($D$114,Ferti_Cultures!$BC$71:$BH$93,AF138,FALSE))</f>
        <v>#N/A</v>
      </c>
      <c r="AH138" s="1337" t="e">
        <f>IF(ISBLANK(HLOOKUP($D$115,Ferti_Cultures!$BC$71:$BH$93,AF138,FALSE)),"",HLOOKUP($D$115,Ferti_Cultures!$BC$71:$BH$93,AF138,FALSE))</f>
        <v>#N/A</v>
      </c>
    </row>
    <row r="139" spans="1:34" x14ac:dyDescent="0.2">
      <c r="AF139" s="1337">
        <v>23</v>
      </c>
      <c r="AG139" s="1337" t="e">
        <f>IF(ISBLANK(HLOOKUP($D$114,Ferti_Cultures!$BC$71:$BH$93,AF139,FALSE)),"",HLOOKUP($D$114,Ferti_Cultures!$BC$71:$BH$93,AF139,FALSE))</f>
        <v>#N/A</v>
      </c>
      <c r="AH139" s="1337" t="e">
        <f>IF(ISBLANK(HLOOKUP($D$115,Ferti_Cultures!$BC$71:$BH$93,AF139,FALSE)),"",HLOOKUP($D$115,Ferti_Cultures!$BC$71:$BH$93,AF139,FALSE))</f>
        <v>#N/A</v>
      </c>
    </row>
  </sheetData>
  <sheetProtection algorithmName="SHA-512" hashValue="dDBXN6hSt8ACYd1x0XrTvX7ahwNOO/VRQNSZm+4Sukw0WOKsr1eYSzGZv/0A6ftTj80ua4NEQAUvklZ7HHWYEw==" saltValue="E6yidKSwGTQgvFOiFUcLcA==" spinCount="100000" sheet="1" objects="1" scenarios="1"/>
  <mergeCells count="30">
    <mergeCell ref="A1:N1"/>
    <mergeCell ref="M119:N124"/>
    <mergeCell ref="M102:N109"/>
    <mergeCell ref="F42:H42"/>
    <mergeCell ref="F30:H30"/>
    <mergeCell ref="M55:N62"/>
    <mergeCell ref="M73:N78"/>
    <mergeCell ref="F23:I23"/>
    <mergeCell ref="M112:N113"/>
    <mergeCell ref="B67:C67"/>
    <mergeCell ref="A68:C68"/>
    <mergeCell ref="A69:F70"/>
    <mergeCell ref="K117:N117"/>
    <mergeCell ref="L9:O15"/>
    <mergeCell ref="A115:C115"/>
    <mergeCell ref="AI42:AJ42"/>
    <mergeCell ref="AH15:AH39"/>
    <mergeCell ref="A3:N3"/>
    <mergeCell ref="F91:H91"/>
    <mergeCell ref="B114:C114"/>
    <mergeCell ref="K69:N69"/>
    <mergeCell ref="K70:N70"/>
    <mergeCell ref="I126:M130"/>
    <mergeCell ref="A116:F117"/>
    <mergeCell ref="K116:N116"/>
    <mergeCell ref="A108:B112"/>
    <mergeCell ref="P9:Q13"/>
    <mergeCell ref="N80:P84"/>
    <mergeCell ref="I80:M84"/>
    <mergeCell ref="N126:P130"/>
  </mergeCells>
  <phoneticPr fontId="14" type="noConversion"/>
  <conditionalFormatting sqref="A26:P37">
    <cfRule type="expression" dxfId="96" priority="41" stopIfTrue="1">
      <formula>IF(NonExced&lt;&gt;2,TRUE,FALSE)</formula>
    </cfRule>
  </conditionalFormatting>
  <conditionalFormatting sqref="A21:P25">
    <cfRule type="expression" dxfId="95" priority="24" stopIfTrue="1">
      <formula>IF(NonExced&lt;&gt;1,TRUE,FALSE)</formula>
    </cfRule>
  </conditionalFormatting>
  <conditionalFormatting sqref="A119:P124">
    <cfRule type="expression" dxfId="94" priority="221" stopIfTrue="1">
      <formula>IF($AB$99=1,TRUE,FALSE)</formula>
    </cfRule>
  </conditionalFormatting>
  <conditionalFormatting sqref="A105:L106">
    <cfRule type="expression" dxfId="93" priority="220" stopIfTrue="1">
      <formula>IF($AB$99=2,TRUE,FALSE)</formula>
    </cfRule>
  </conditionalFormatting>
  <conditionalFormatting sqref="A15:K15 P15 A16:P79 A81:H84 A80:I80 N80">
    <cfRule type="expression" dxfId="92" priority="21" stopIfTrue="1">
      <formula>IF($D$6&lt;=170,FALSE,TRUE)</formula>
    </cfRule>
  </conditionalFormatting>
  <conditionalFormatting sqref="I24:P25">
    <cfRule type="expression" dxfId="91" priority="25" stopIfTrue="1">
      <formula>IF(ROUND($L$23,0)&lt;=ROUND($AB$28,0),FALSE,TRUE)</formula>
    </cfRule>
  </conditionalFormatting>
  <conditionalFormatting sqref="A101:P130">
    <cfRule type="expression" dxfId="90" priority="123" stopIfTrue="1">
      <formula>IF(ISBLANK($AB$99),TRUE,FALSE)</formula>
    </cfRule>
  </conditionalFormatting>
  <conditionalFormatting sqref="A86:P130">
    <cfRule type="expression" dxfId="89" priority="122" stopIfTrue="1">
      <formula>IF($D$6&gt;170,FALSE,TRUE)</formula>
    </cfRule>
  </conditionalFormatting>
  <conditionalFormatting sqref="A38:P47">
    <cfRule type="expression" dxfId="88" priority="46" stopIfTrue="1">
      <formula>IF(NonExced&lt;&gt;3,TRUE,FALSE)</formula>
    </cfRule>
  </conditionalFormatting>
  <conditionalFormatting sqref="A72:P78">
    <cfRule type="expression" dxfId="87" priority="112" stopIfTrue="1">
      <formula>IF($AB$50=1,TRUE,FALSE)</formula>
    </cfRule>
  </conditionalFormatting>
  <conditionalFormatting sqref="A54:P79 A81:H84 A80:I80 N80">
    <cfRule type="expression" dxfId="86" priority="110" stopIfTrue="1">
      <formula>IF(ISBLANK($AB$50),TRUE,FALSE)</formula>
    </cfRule>
  </conditionalFormatting>
  <conditionalFormatting sqref="I36:P37">
    <cfRule type="expression" dxfId="85" priority="42" stopIfTrue="1">
      <formula>IF(ROUND($H$37,0)&lt;=ROUND($AB$34,0),FALSE,TRUE)</formula>
    </cfRule>
  </conditionalFormatting>
  <conditionalFormatting sqref="I46:P47">
    <cfRule type="expression" dxfId="84" priority="50" stopIfTrue="1">
      <formula>IF(ROUND($H$47,0)&lt;=ROUND($AB$44,0),FALSE,TRUE)</formula>
    </cfRule>
  </conditionalFormatting>
  <conditionalFormatting sqref="J52">
    <cfRule type="expression" dxfId="83" priority="1" stopIfTrue="1">
      <formula>IF(NonExced&lt;&gt;3,TRUE,FALSE)</formula>
    </cfRule>
  </conditionalFormatting>
  <dataValidations count="5">
    <dataValidation type="list" allowBlank="1" showInputMessage="1" showErrorMessage="1" sqref="F30:H30 F42:H42 F91:H91">
      <formula1>$AI$15:$AI$39</formula1>
    </dataValidation>
    <dataValidation type="list" allowBlank="1" showInputMessage="1" showErrorMessage="1" sqref="F67">
      <formula1>OFFSET(Plage1,0,0,COUNTA(Plage1)-COUNTIF(Plage1,""))</formula1>
    </dataValidation>
    <dataValidation type="list" allowBlank="1" showInputMessage="1" showErrorMessage="1" sqref="F68">
      <formula1>OFFSET(Plage2,0,0,COUNTA(Plage2)-COUNTIF(Plage2,""))</formula1>
    </dataValidation>
    <dataValidation type="list" allowBlank="1" showInputMessage="1" showErrorMessage="1" sqref="F114">
      <formula1>OFFSET(Plage3,0,0,COUNTA(Plage3)-COUNTIF(Plage3,""))</formula1>
    </dataValidation>
    <dataValidation type="list" allowBlank="1" showInputMessage="1" showErrorMessage="1" sqref="F115">
      <formula1>OFFSET(Plage4,0,0,COUNTA(Plage4)-COUNTIF(Plage4,""))</formula1>
    </dataValidation>
  </dataValidations>
  <hyperlinks>
    <hyperlink ref="F23:I23" location="Plan_Epandage!A60" display="Plan_Epandage!A60"/>
  </hyperlinks>
  <pageMargins left="0.78740157499999996" right="0.78740157499999996" top="0.984251969" bottom="0.984251969" header="0.4921259845" footer="0.4921259845"/>
  <pageSetup paperSize="9" scale="23"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561" r:id="rId4" name="Option Button 1">
              <controlPr defaultSize="0" autoFill="0" autoLine="0" autoPict="0">
                <anchor moveWithCells="1">
                  <from>
                    <xdr:col>2</xdr:col>
                    <xdr:colOff>466725</xdr:colOff>
                    <xdr:row>16</xdr:row>
                    <xdr:rowOff>0</xdr:rowOff>
                  </from>
                  <to>
                    <xdr:col>2</xdr:col>
                    <xdr:colOff>790575</xdr:colOff>
                    <xdr:row>17</xdr:row>
                    <xdr:rowOff>9525</xdr:rowOff>
                  </to>
                </anchor>
              </controlPr>
            </control>
          </mc:Choice>
        </mc:AlternateContent>
        <mc:AlternateContent xmlns:mc="http://schemas.openxmlformats.org/markup-compatibility/2006">
          <mc:Choice Requires="x14">
            <control shapeId="66562" r:id="rId5" name="Option Button 2">
              <controlPr defaultSize="0" autoFill="0" autoLine="0" autoPict="0">
                <anchor moveWithCells="1">
                  <from>
                    <xdr:col>2</xdr:col>
                    <xdr:colOff>466725</xdr:colOff>
                    <xdr:row>16</xdr:row>
                    <xdr:rowOff>190500</xdr:rowOff>
                  </from>
                  <to>
                    <xdr:col>2</xdr:col>
                    <xdr:colOff>790575</xdr:colOff>
                    <xdr:row>17</xdr:row>
                    <xdr:rowOff>200025</xdr:rowOff>
                  </to>
                </anchor>
              </controlPr>
            </control>
          </mc:Choice>
        </mc:AlternateContent>
        <mc:AlternateContent xmlns:mc="http://schemas.openxmlformats.org/markup-compatibility/2006">
          <mc:Choice Requires="x14">
            <control shapeId="66563" r:id="rId6" name="Option Button 3">
              <controlPr defaultSize="0" autoFill="0" autoLine="0" autoPict="0">
                <anchor moveWithCells="1">
                  <from>
                    <xdr:col>2</xdr:col>
                    <xdr:colOff>466725</xdr:colOff>
                    <xdr:row>17</xdr:row>
                    <xdr:rowOff>190500</xdr:rowOff>
                  </from>
                  <to>
                    <xdr:col>2</xdr:col>
                    <xdr:colOff>790575</xdr:colOff>
                    <xdr:row>18</xdr:row>
                    <xdr:rowOff>200025</xdr:rowOff>
                  </to>
                </anchor>
              </controlPr>
            </control>
          </mc:Choice>
        </mc:AlternateContent>
        <mc:AlternateContent xmlns:mc="http://schemas.openxmlformats.org/markup-compatibility/2006">
          <mc:Choice Requires="x14">
            <control shapeId="66564" r:id="rId7" name="Group Box 4">
              <controlPr defaultSize="0" autoFill="0" autoPict="0">
                <anchor moveWithCells="1">
                  <from>
                    <xdr:col>2</xdr:col>
                    <xdr:colOff>361950</xdr:colOff>
                    <xdr:row>15</xdr:row>
                    <xdr:rowOff>180975</xdr:rowOff>
                  </from>
                  <to>
                    <xdr:col>14</xdr:col>
                    <xdr:colOff>0</xdr:colOff>
                    <xdr:row>19</xdr:row>
                    <xdr:rowOff>95250</xdr:rowOff>
                  </to>
                </anchor>
              </controlPr>
            </control>
          </mc:Choice>
        </mc:AlternateContent>
        <mc:AlternateContent xmlns:mc="http://schemas.openxmlformats.org/markup-compatibility/2006">
          <mc:Choice Requires="x14">
            <control shapeId="66584" r:id="rId8" name="Group Box 24">
              <controlPr defaultSize="0" autoFill="0" autoPict="0" altText="">
                <anchor moveWithCells="1">
                  <from>
                    <xdr:col>0</xdr:col>
                    <xdr:colOff>0</xdr:colOff>
                    <xdr:row>97</xdr:row>
                    <xdr:rowOff>0</xdr:rowOff>
                  </from>
                  <to>
                    <xdr:col>14</xdr:col>
                    <xdr:colOff>0</xdr:colOff>
                    <xdr:row>100</xdr:row>
                    <xdr:rowOff>0</xdr:rowOff>
                  </to>
                </anchor>
              </controlPr>
            </control>
          </mc:Choice>
        </mc:AlternateContent>
        <mc:AlternateContent xmlns:mc="http://schemas.openxmlformats.org/markup-compatibility/2006">
          <mc:Choice Requires="x14">
            <control shapeId="66585" r:id="rId9" name="Button 25">
              <controlPr defaultSize="0" print="0" autoFill="0" autoPict="0" macro="[0]!Efface_Epandage">
                <anchor moveWithCells="1" sizeWithCells="1">
                  <from>
                    <xdr:col>8</xdr:col>
                    <xdr:colOff>47625</xdr:colOff>
                    <xdr:row>0</xdr:row>
                    <xdr:rowOff>9525</xdr:rowOff>
                  </from>
                  <to>
                    <xdr:col>13</xdr:col>
                    <xdr:colOff>619125</xdr:colOff>
                    <xdr:row>0</xdr:row>
                    <xdr:rowOff>295275</xdr:rowOff>
                  </to>
                </anchor>
              </controlPr>
            </control>
          </mc:Choice>
        </mc:AlternateContent>
        <mc:AlternateContent xmlns:mc="http://schemas.openxmlformats.org/markup-compatibility/2006">
          <mc:Choice Requires="x14">
            <control shapeId="66586" r:id="rId10" name="Button 26">
              <controlPr defaultSize="0" print="0" autoFill="0" autoPict="0" macro="[0]!Retour_Presentation">
                <anchor moveWithCells="1" sizeWithCells="1">
                  <from>
                    <xdr:col>14</xdr:col>
                    <xdr:colOff>209550</xdr:colOff>
                    <xdr:row>1</xdr:row>
                    <xdr:rowOff>28575</xdr:rowOff>
                  </from>
                  <to>
                    <xdr:col>16</xdr:col>
                    <xdr:colOff>95250</xdr:colOff>
                    <xdr:row>4</xdr:row>
                    <xdr:rowOff>76200</xdr:rowOff>
                  </to>
                </anchor>
              </controlPr>
            </control>
          </mc:Choice>
        </mc:AlternateContent>
        <mc:AlternateContent xmlns:mc="http://schemas.openxmlformats.org/markup-compatibility/2006">
          <mc:Choice Requires="x14">
            <control shapeId="66671" r:id="rId11" name="Option Button 111">
              <controlPr defaultSize="0" autoFill="0" autoLine="0" autoPict="0">
                <anchor moveWithCells="1">
                  <from>
                    <xdr:col>5</xdr:col>
                    <xdr:colOff>590550</xdr:colOff>
                    <xdr:row>48</xdr:row>
                    <xdr:rowOff>142875</xdr:rowOff>
                  </from>
                  <to>
                    <xdr:col>7</xdr:col>
                    <xdr:colOff>161925</xdr:colOff>
                    <xdr:row>49</xdr:row>
                    <xdr:rowOff>142875</xdr:rowOff>
                  </to>
                </anchor>
              </controlPr>
            </control>
          </mc:Choice>
        </mc:AlternateContent>
        <mc:AlternateContent xmlns:mc="http://schemas.openxmlformats.org/markup-compatibility/2006">
          <mc:Choice Requires="x14">
            <control shapeId="66675" r:id="rId12" name="Option Button 115">
              <controlPr defaultSize="0" autoFill="0" autoLine="0" autoPict="0">
                <anchor moveWithCells="1">
                  <from>
                    <xdr:col>7</xdr:col>
                    <xdr:colOff>180975</xdr:colOff>
                    <xdr:row>48</xdr:row>
                    <xdr:rowOff>142875</xdr:rowOff>
                  </from>
                  <to>
                    <xdr:col>8</xdr:col>
                    <xdr:colOff>400050</xdr:colOff>
                    <xdr:row>49</xdr:row>
                    <xdr:rowOff>142875</xdr:rowOff>
                  </to>
                </anchor>
              </controlPr>
            </control>
          </mc:Choice>
        </mc:AlternateContent>
        <mc:AlternateContent xmlns:mc="http://schemas.openxmlformats.org/markup-compatibility/2006">
          <mc:Choice Requires="x14">
            <control shapeId="66676" r:id="rId13" name="Group Box 116">
              <controlPr defaultSize="0" autoFill="0" autoPict="0">
                <anchor moveWithCells="1">
                  <from>
                    <xdr:col>0</xdr:col>
                    <xdr:colOff>0</xdr:colOff>
                    <xdr:row>48</xdr:row>
                    <xdr:rowOff>0</xdr:rowOff>
                  </from>
                  <to>
                    <xdr:col>14</xdr:col>
                    <xdr:colOff>0</xdr:colOff>
                    <xdr:row>51</xdr:row>
                    <xdr:rowOff>0</xdr:rowOff>
                  </to>
                </anchor>
              </controlPr>
            </control>
          </mc:Choice>
        </mc:AlternateContent>
        <mc:AlternateContent xmlns:mc="http://schemas.openxmlformats.org/markup-compatibility/2006">
          <mc:Choice Requires="x14">
            <control shapeId="66677" r:id="rId14" name="Option Button 117">
              <controlPr defaultSize="0" autoFill="0" autoLine="0" autoPict="0">
                <anchor moveWithCells="1">
                  <from>
                    <xdr:col>5</xdr:col>
                    <xdr:colOff>457200</xdr:colOff>
                    <xdr:row>97</xdr:row>
                    <xdr:rowOff>114300</xdr:rowOff>
                  </from>
                  <to>
                    <xdr:col>7</xdr:col>
                    <xdr:colOff>0</xdr:colOff>
                    <xdr:row>99</xdr:row>
                    <xdr:rowOff>9525</xdr:rowOff>
                  </to>
                </anchor>
              </controlPr>
            </control>
          </mc:Choice>
        </mc:AlternateContent>
        <mc:AlternateContent xmlns:mc="http://schemas.openxmlformats.org/markup-compatibility/2006">
          <mc:Choice Requires="x14">
            <control shapeId="66678" r:id="rId15" name="Option Button 118">
              <controlPr defaultSize="0" autoFill="0" autoLine="0" autoPict="0">
                <anchor moveWithCells="1">
                  <from>
                    <xdr:col>7</xdr:col>
                    <xdr:colOff>66675</xdr:colOff>
                    <xdr:row>97</xdr:row>
                    <xdr:rowOff>104775</xdr:rowOff>
                  </from>
                  <to>
                    <xdr:col>8</xdr:col>
                    <xdr:colOff>342900</xdr:colOff>
                    <xdr:row>99</xdr:row>
                    <xdr:rowOff>9525</xdr:rowOff>
                  </to>
                </anchor>
              </controlPr>
            </control>
          </mc:Choice>
        </mc:AlternateContent>
        <mc:AlternateContent xmlns:mc="http://schemas.openxmlformats.org/markup-compatibility/2006">
          <mc:Choice Requires="x14">
            <control shapeId="66680" r:id="rId16" name="Spinner 120">
              <controlPr defaultSize="0" autoPict="0">
                <anchor moveWithCells="1" sizeWithCells="1">
                  <from>
                    <xdr:col>8</xdr:col>
                    <xdr:colOff>190500</xdr:colOff>
                    <xdr:row>68</xdr:row>
                    <xdr:rowOff>0</xdr:rowOff>
                  </from>
                  <to>
                    <xdr:col>8</xdr:col>
                    <xdr:colOff>657225</xdr:colOff>
                    <xdr:row>69</xdr:row>
                    <xdr:rowOff>0</xdr:rowOff>
                  </to>
                </anchor>
              </controlPr>
            </control>
          </mc:Choice>
        </mc:AlternateContent>
        <mc:AlternateContent xmlns:mc="http://schemas.openxmlformats.org/markup-compatibility/2006">
          <mc:Choice Requires="x14">
            <control shapeId="66684" r:id="rId17" name="Spinner 124">
              <controlPr defaultSize="0" autoPict="0">
                <anchor moveWithCells="1" sizeWithCells="1">
                  <from>
                    <xdr:col>8</xdr:col>
                    <xdr:colOff>190500</xdr:colOff>
                    <xdr:row>115</xdr:row>
                    <xdr:rowOff>0</xdr:rowOff>
                  </from>
                  <to>
                    <xdr:col>8</xdr:col>
                    <xdr:colOff>657225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Ferti_Cultures!$BB$72:$BB$77</xm:f>
          </x14:formula1>
          <xm:sqref>D67:D68 D114:D115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9">
    <tabColor theme="4" tint="-0.249977111117893"/>
  </sheetPr>
  <dimension ref="A1:CA113"/>
  <sheetViews>
    <sheetView topLeftCell="A3" workbookViewId="0">
      <selection activeCell="J15" sqref="J15:J16"/>
    </sheetView>
  </sheetViews>
  <sheetFormatPr baseColWidth="10" defaultRowHeight="12.75" x14ac:dyDescent="0.2"/>
  <cols>
    <col min="1" max="1" width="14.42578125" customWidth="1"/>
    <col min="2" max="2" width="7.28515625" customWidth="1"/>
    <col min="3" max="8" width="9.28515625" customWidth="1"/>
    <col min="9" max="9" width="3" customWidth="1"/>
    <col min="10" max="10" width="14.140625" customWidth="1"/>
    <col min="11" max="11" width="12.5703125" customWidth="1"/>
    <col min="12" max="12" width="12" customWidth="1"/>
    <col min="13" max="13" width="15.140625" customWidth="1"/>
    <col min="28" max="79" width="11.42578125" hidden="1" customWidth="1"/>
  </cols>
  <sheetData>
    <row r="1" spans="1:33" ht="20.25" x14ac:dyDescent="0.3">
      <c r="A1" s="1727" t="s">
        <v>1265</v>
      </c>
      <c r="B1" s="1498"/>
      <c r="C1" s="1498"/>
      <c r="D1" s="1498"/>
      <c r="E1" s="1498"/>
      <c r="F1" s="1498"/>
      <c r="G1" s="1498"/>
      <c r="H1" s="1498"/>
      <c r="I1" s="1498"/>
      <c r="J1" s="1498"/>
      <c r="K1" s="1498"/>
      <c r="L1" s="1498"/>
      <c r="M1" s="1498"/>
      <c r="N1" s="1498"/>
      <c r="O1" s="1498"/>
      <c r="P1" s="1498"/>
      <c r="Q1" s="1498"/>
      <c r="R1" s="1498"/>
      <c r="S1" s="1498"/>
      <c r="T1" s="1498"/>
      <c r="U1" s="1498"/>
      <c r="V1" s="1498"/>
      <c r="W1" s="1498"/>
      <c r="X1" s="1498"/>
      <c r="Y1" s="1498"/>
      <c r="Z1" s="1498"/>
      <c r="AA1" s="1498"/>
    </row>
    <row r="2" spans="1:33" ht="30" customHeight="1" x14ac:dyDescent="0.25">
      <c r="A2" s="3168" t="s">
        <v>2021</v>
      </c>
      <c r="B2" s="3168"/>
      <c r="C2" s="3168"/>
      <c r="D2" s="3168"/>
      <c r="E2" s="3168"/>
      <c r="F2" s="3168"/>
      <c r="G2" s="3168"/>
      <c r="H2" s="3168"/>
      <c r="I2" s="3168"/>
      <c r="J2" s="1498"/>
      <c r="K2" s="1498"/>
      <c r="L2" s="1498"/>
      <c r="M2" s="1498"/>
      <c r="N2" s="1498"/>
      <c r="O2" s="1498"/>
      <c r="P2" s="1498"/>
      <c r="Q2" s="1498"/>
      <c r="R2" s="1498"/>
      <c r="S2" s="1498"/>
      <c r="T2" s="1498"/>
      <c r="U2" s="1498"/>
      <c r="V2" s="1498"/>
      <c r="W2" s="1498"/>
      <c r="X2" s="1498"/>
      <c r="Y2" s="1498"/>
      <c r="Z2" s="1498"/>
      <c r="AA2" s="1498"/>
    </row>
    <row r="3" spans="1:33" ht="5.0999999999999996" customHeight="1" x14ac:dyDescent="0.2">
      <c r="A3" s="1498"/>
      <c r="B3" s="1498"/>
      <c r="C3" s="1498"/>
      <c r="D3" s="1498"/>
      <c r="E3" s="1498"/>
      <c r="F3" s="1498"/>
      <c r="G3" s="1498"/>
      <c r="H3" s="1498"/>
      <c r="I3" s="1498"/>
      <c r="J3" s="1498"/>
      <c r="K3" s="1498"/>
      <c r="L3" s="1498"/>
      <c r="M3" s="1498"/>
      <c r="N3" s="1498"/>
      <c r="O3" s="1498"/>
      <c r="P3" s="1498"/>
      <c r="Q3" s="1498"/>
      <c r="R3" s="1498"/>
      <c r="S3" s="1498"/>
      <c r="T3" s="1498"/>
      <c r="U3" s="1498"/>
      <c r="V3" s="1498"/>
      <c r="W3" s="1498"/>
      <c r="X3" s="1498"/>
      <c r="Y3" s="1498"/>
      <c r="Z3" s="1498"/>
      <c r="AA3" s="1498"/>
    </row>
    <row r="4" spans="1:33" ht="15.75" x14ac:dyDescent="0.25">
      <c r="A4" s="1499" t="s">
        <v>1099</v>
      </c>
      <c r="B4" s="1498"/>
      <c r="C4" s="1498"/>
      <c r="D4" s="1498"/>
      <c r="E4" s="1498"/>
      <c r="F4" s="1498"/>
      <c r="G4" s="1498"/>
      <c r="H4" s="1498"/>
      <c r="I4" s="1498"/>
      <c r="J4" s="3209" t="s">
        <v>2328</v>
      </c>
      <c r="K4" s="3209"/>
      <c r="L4" s="3209"/>
      <c r="M4" s="3209"/>
      <c r="N4" s="1498"/>
      <c r="O4" s="1498"/>
      <c r="P4" s="1498"/>
      <c r="Q4" s="1498"/>
      <c r="R4" s="1498"/>
      <c r="S4" s="1498"/>
      <c r="T4" s="1498"/>
      <c r="U4" s="1498"/>
      <c r="V4" s="1498"/>
      <c r="W4" s="1498"/>
      <c r="X4" s="1498"/>
      <c r="Y4" s="1498"/>
      <c r="Z4" s="1498"/>
      <c r="AA4" s="1498"/>
    </row>
    <row r="5" spans="1:33" x14ac:dyDescent="0.2">
      <c r="A5" s="1500" t="s">
        <v>1063</v>
      </c>
      <c r="B5" s="1498"/>
      <c r="C5" s="1498"/>
      <c r="D5" s="1498"/>
      <c r="E5" s="1498"/>
      <c r="F5" s="1498"/>
      <c r="G5" s="1498"/>
      <c r="H5" s="1498"/>
      <c r="I5" s="1498"/>
      <c r="J5" s="3209"/>
      <c r="K5" s="3209"/>
      <c r="L5" s="3209"/>
      <c r="M5" s="3209"/>
      <c r="N5" s="1498"/>
      <c r="O5" s="1498"/>
      <c r="P5" s="1498"/>
      <c r="Q5" s="1498"/>
      <c r="R5" s="1498"/>
      <c r="S5" s="1498"/>
      <c r="T5" s="1498"/>
      <c r="U5" s="1498"/>
      <c r="V5" s="1498"/>
      <c r="W5" s="1498"/>
      <c r="X5" s="1498"/>
      <c r="Y5" s="1498"/>
      <c r="Z5" s="1498"/>
      <c r="AA5" s="1498"/>
    </row>
    <row r="6" spans="1:33" x14ac:dyDescent="0.2">
      <c r="A6" s="1501" t="s">
        <v>1200</v>
      </c>
      <c r="B6" s="1505" t="s">
        <v>682</v>
      </c>
      <c r="C6" s="3181" t="s">
        <v>1101</v>
      </c>
      <c r="D6" s="3182"/>
      <c r="E6" s="3183"/>
      <c r="F6" s="3181" t="s">
        <v>1102</v>
      </c>
      <c r="G6" s="3182"/>
      <c r="H6" s="3183"/>
      <c r="I6" s="3184"/>
      <c r="J6" s="3209"/>
      <c r="K6" s="3209"/>
      <c r="L6" s="3209"/>
      <c r="M6" s="3209"/>
      <c r="N6" s="1498"/>
      <c r="O6" s="1498"/>
      <c r="P6" s="1498"/>
      <c r="Q6" s="1498"/>
      <c r="R6" s="1498"/>
      <c r="S6" s="1498"/>
      <c r="T6" s="1498"/>
      <c r="U6" s="1498"/>
      <c r="V6" s="1498"/>
      <c r="W6" s="1498"/>
      <c r="X6" s="1498"/>
      <c r="Y6" s="1498"/>
      <c r="Z6" s="1498"/>
      <c r="AA6" s="1498"/>
      <c r="AB6" s="3185" t="s">
        <v>1346</v>
      </c>
      <c r="AC6" s="3186"/>
      <c r="AD6" s="3186"/>
      <c r="AE6" s="3185" t="s">
        <v>1347</v>
      </c>
      <c r="AF6" s="3186"/>
      <c r="AG6" s="3186"/>
    </row>
    <row r="7" spans="1:33" x14ac:dyDescent="0.2">
      <c r="A7" s="1502"/>
      <c r="B7" s="1503" t="s">
        <v>1103</v>
      </c>
      <c r="C7" s="1506" t="s">
        <v>625</v>
      </c>
      <c r="D7" s="1503" t="s">
        <v>187</v>
      </c>
      <c r="E7" s="1504" t="s">
        <v>665</v>
      </c>
      <c r="F7" s="1506" t="s">
        <v>625</v>
      </c>
      <c r="G7" s="1503" t="s">
        <v>187</v>
      </c>
      <c r="H7" s="1504" t="s">
        <v>665</v>
      </c>
      <c r="I7" s="3184"/>
      <c r="J7" s="3209"/>
      <c r="K7" s="3209"/>
      <c r="L7" s="3209"/>
      <c r="M7" s="3209"/>
      <c r="N7" s="1498"/>
      <c r="O7" s="1498"/>
      <c r="P7" s="1498"/>
      <c r="Q7" s="1498"/>
      <c r="R7" s="1498"/>
      <c r="S7" s="1498"/>
      <c r="T7" s="1498"/>
      <c r="U7" s="1498"/>
      <c r="V7" s="1498"/>
      <c r="W7" s="1498"/>
      <c r="X7" s="1498"/>
      <c r="Y7" s="1498"/>
      <c r="Z7" s="1498"/>
      <c r="AA7" s="1498"/>
      <c r="AB7" s="1423" t="s">
        <v>625</v>
      </c>
      <c r="AC7" s="1423" t="s">
        <v>187</v>
      </c>
      <c r="AD7" s="1423" t="s">
        <v>665</v>
      </c>
      <c r="AE7" s="1423" t="s">
        <v>625</v>
      </c>
      <c r="AF7" s="1423" t="s">
        <v>187</v>
      </c>
      <c r="AG7" s="1423" t="s">
        <v>665</v>
      </c>
    </row>
    <row r="8" spans="1:33" ht="12.75" customHeight="1" x14ac:dyDescent="0.2">
      <c r="A8" s="1547" t="s">
        <v>2289</v>
      </c>
      <c r="B8" s="1665">
        <v>8</v>
      </c>
      <c r="C8" s="1507">
        <v>10</v>
      </c>
      <c r="D8" s="1508">
        <v>23</v>
      </c>
      <c r="E8" s="1509">
        <v>75</v>
      </c>
      <c r="F8" s="1507">
        <v>50</v>
      </c>
      <c r="G8" s="1508">
        <v>30</v>
      </c>
      <c r="H8" s="1509">
        <v>80</v>
      </c>
      <c r="I8" s="3184"/>
      <c r="J8" s="3206" t="s">
        <v>1513</v>
      </c>
      <c r="K8" s="3206"/>
      <c r="L8" s="3206"/>
      <c r="M8" s="3206"/>
      <c r="N8" s="1498"/>
      <c r="O8" s="1498"/>
      <c r="P8" s="1498"/>
      <c r="Q8" s="1498"/>
      <c r="R8" s="1498"/>
      <c r="S8" s="1498"/>
      <c r="T8" s="1498"/>
      <c r="U8" s="1498"/>
      <c r="V8" s="1498"/>
      <c r="W8" s="1498"/>
      <c r="X8" s="1498"/>
      <c r="Y8" s="1498"/>
      <c r="Z8" s="1498"/>
      <c r="AA8" s="1498"/>
      <c r="AB8" s="1423">
        <f t="shared" ref="AB8:AB13" si="0">$B8*C8</f>
        <v>80</v>
      </c>
      <c r="AC8" s="1423">
        <f t="shared" ref="AC8:AG13" si="1">$B8*D8</f>
        <v>184</v>
      </c>
      <c r="AD8" s="1423">
        <f t="shared" si="1"/>
        <v>600</v>
      </c>
      <c r="AE8" s="1423">
        <f t="shared" si="1"/>
        <v>400</v>
      </c>
      <c r="AF8" s="1423">
        <f t="shared" si="1"/>
        <v>240</v>
      </c>
      <c r="AG8" s="1423">
        <f t="shared" si="1"/>
        <v>640</v>
      </c>
    </row>
    <row r="9" spans="1:33" x14ac:dyDescent="0.2">
      <c r="A9" s="1547"/>
      <c r="B9" s="1508"/>
      <c r="C9" s="1507"/>
      <c r="D9" s="1508"/>
      <c r="E9" s="1509"/>
      <c r="F9" s="1507"/>
      <c r="G9" s="1508"/>
      <c r="H9" s="1509"/>
      <c r="I9" s="3184"/>
      <c r="J9" s="2092"/>
      <c r="K9" s="1498"/>
      <c r="L9" s="1498"/>
      <c r="M9" s="1498"/>
      <c r="N9" s="1498"/>
      <c r="O9" s="1498"/>
      <c r="P9" s="1498"/>
      <c r="Q9" s="1498"/>
      <c r="R9" s="1498"/>
      <c r="S9" s="1498"/>
      <c r="T9" s="1498"/>
      <c r="U9" s="1498"/>
      <c r="V9" s="1498"/>
      <c r="W9" s="1498"/>
      <c r="X9" s="1498"/>
      <c r="Y9" s="1498"/>
      <c r="Z9" s="1498"/>
      <c r="AA9" s="1498"/>
      <c r="AB9" s="1423">
        <f t="shared" si="0"/>
        <v>0</v>
      </c>
      <c r="AC9" s="1423">
        <f t="shared" si="1"/>
        <v>0</v>
      </c>
      <c r="AD9" s="1423">
        <f t="shared" si="1"/>
        <v>0</v>
      </c>
      <c r="AE9" s="1423">
        <f t="shared" si="1"/>
        <v>0</v>
      </c>
      <c r="AF9" s="1423">
        <f t="shared" si="1"/>
        <v>0</v>
      </c>
      <c r="AG9" s="1423">
        <f t="shared" si="1"/>
        <v>0</v>
      </c>
    </row>
    <row r="10" spans="1:33" ht="14.25" x14ac:dyDescent="0.2">
      <c r="A10" s="1547" t="s">
        <v>2465</v>
      </c>
      <c r="B10" s="1508">
        <v>57</v>
      </c>
      <c r="C10" s="1507">
        <v>12</v>
      </c>
      <c r="D10" s="1508">
        <v>25</v>
      </c>
      <c r="E10" s="1509">
        <v>84</v>
      </c>
      <c r="F10" s="1507">
        <v>70</v>
      </c>
      <c r="G10" s="1508">
        <v>40</v>
      </c>
      <c r="H10" s="1509">
        <v>120</v>
      </c>
      <c r="I10" s="3184"/>
      <c r="J10" s="3207" t="s">
        <v>1514</v>
      </c>
      <c r="K10" s="3207"/>
      <c r="L10" s="3207"/>
      <c r="M10" s="3207"/>
      <c r="N10" s="1498"/>
      <c r="O10" s="1498"/>
      <c r="P10" s="1498"/>
      <c r="Q10" s="1498"/>
      <c r="R10" s="1498"/>
      <c r="S10" s="1498"/>
      <c r="T10" s="1498"/>
      <c r="U10" s="1498"/>
      <c r="V10" s="1498"/>
      <c r="W10" s="1498"/>
      <c r="X10" s="1498"/>
      <c r="Y10" s="1498"/>
      <c r="Z10" s="1498"/>
      <c r="AA10" s="1498"/>
      <c r="AB10" s="1423">
        <f t="shared" si="0"/>
        <v>684</v>
      </c>
      <c r="AC10" s="1423">
        <f t="shared" si="1"/>
        <v>1425</v>
      </c>
      <c r="AD10" s="1423">
        <f t="shared" si="1"/>
        <v>4788</v>
      </c>
      <c r="AE10" s="1423">
        <f t="shared" si="1"/>
        <v>3990</v>
      </c>
      <c r="AF10" s="1423">
        <f t="shared" si="1"/>
        <v>2280</v>
      </c>
      <c r="AG10" s="1423">
        <f t="shared" si="1"/>
        <v>6840</v>
      </c>
    </row>
    <row r="11" spans="1:33" ht="12.75" customHeight="1" x14ac:dyDescent="0.2">
      <c r="A11" s="1507"/>
      <c r="B11" s="1508"/>
      <c r="C11" s="1507"/>
      <c r="D11" s="1508"/>
      <c r="E11" s="1509"/>
      <c r="F11" s="1507"/>
      <c r="G11" s="1508"/>
      <c r="H11" s="1509"/>
      <c r="I11" s="3184"/>
      <c r="J11" s="2093"/>
      <c r="K11" s="1498"/>
      <c r="L11" s="1498"/>
      <c r="M11" s="1498"/>
      <c r="N11" s="1498"/>
      <c r="O11" s="1498"/>
      <c r="P11" s="1498"/>
      <c r="Q11" s="1498"/>
      <c r="R11" s="1498"/>
      <c r="S11" s="1498"/>
      <c r="T11" s="1498"/>
      <c r="U11" s="1498"/>
      <c r="V11" s="1498"/>
      <c r="W11" s="1498"/>
      <c r="X11" s="1498"/>
      <c r="Y11" s="1498"/>
      <c r="Z11" s="1498"/>
      <c r="AA11" s="1498"/>
      <c r="AB11" s="1423">
        <f t="shared" si="0"/>
        <v>0</v>
      </c>
      <c r="AC11" s="1423">
        <f t="shared" si="1"/>
        <v>0</v>
      </c>
      <c r="AD11" s="1423">
        <f t="shared" si="1"/>
        <v>0</v>
      </c>
      <c r="AE11" s="1423">
        <f t="shared" si="1"/>
        <v>0</v>
      </c>
      <c r="AF11" s="1423">
        <f t="shared" si="1"/>
        <v>0</v>
      </c>
      <c r="AG11" s="1423">
        <f t="shared" si="1"/>
        <v>0</v>
      </c>
    </row>
    <row r="12" spans="1:33" ht="12.75" customHeight="1" x14ac:dyDescent="0.2">
      <c r="A12" s="1507"/>
      <c r="B12" s="1508"/>
      <c r="C12" s="1507"/>
      <c r="D12" s="1508"/>
      <c r="E12" s="1509"/>
      <c r="F12" s="1507"/>
      <c r="G12" s="1508"/>
      <c r="H12" s="1509"/>
      <c r="I12" s="3184"/>
      <c r="J12" s="3204" t="s">
        <v>1672</v>
      </c>
      <c r="K12" s="3204"/>
      <c r="L12" s="3204"/>
      <c r="M12" s="3204"/>
      <c r="N12" s="1498"/>
      <c r="O12" s="1498"/>
      <c r="P12" s="1498"/>
      <c r="Q12" s="1498"/>
      <c r="R12" s="1498"/>
      <c r="S12" s="1498"/>
      <c r="T12" s="1498"/>
      <c r="U12" s="1498"/>
      <c r="V12" s="1498"/>
      <c r="W12" s="1498"/>
      <c r="X12" s="1498"/>
      <c r="Y12" s="1498"/>
      <c r="Z12" s="1498"/>
      <c r="AA12" s="1498"/>
      <c r="AB12" s="1423">
        <f t="shared" si="0"/>
        <v>0</v>
      </c>
      <c r="AC12" s="1423">
        <f t="shared" si="1"/>
        <v>0</v>
      </c>
      <c r="AD12" s="1423">
        <f t="shared" si="1"/>
        <v>0</v>
      </c>
      <c r="AE12" s="1423">
        <f t="shared" si="1"/>
        <v>0</v>
      </c>
      <c r="AF12" s="1423">
        <f t="shared" si="1"/>
        <v>0</v>
      </c>
      <c r="AG12" s="1423">
        <f t="shared" si="1"/>
        <v>0</v>
      </c>
    </row>
    <row r="13" spans="1:33" x14ac:dyDescent="0.2">
      <c r="A13" s="1507"/>
      <c r="B13" s="1508"/>
      <c r="C13" s="1507"/>
      <c r="D13" s="1508"/>
      <c r="E13" s="1509"/>
      <c r="F13" s="1547"/>
      <c r="G13" s="1508"/>
      <c r="H13" s="1926"/>
      <c r="I13" s="3184"/>
      <c r="J13" s="3204"/>
      <c r="K13" s="3204"/>
      <c r="L13" s="3204"/>
      <c r="M13" s="3204"/>
      <c r="N13" s="1498"/>
      <c r="O13" s="1498"/>
      <c r="P13" s="1498"/>
      <c r="Q13" s="1498"/>
      <c r="R13" s="1498"/>
      <c r="S13" s="1498"/>
      <c r="T13" s="1498"/>
      <c r="U13" s="1498"/>
      <c r="V13" s="1498"/>
      <c r="W13" s="1498"/>
      <c r="X13" s="1498"/>
      <c r="Y13" s="1498"/>
      <c r="Z13" s="1498"/>
      <c r="AA13" s="1498"/>
      <c r="AB13" s="1423">
        <f t="shared" si="0"/>
        <v>0</v>
      </c>
      <c r="AC13" s="1423">
        <f t="shared" si="1"/>
        <v>0</v>
      </c>
      <c r="AD13" s="1423">
        <f t="shared" si="1"/>
        <v>0</v>
      </c>
      <c r="AE13" s="1423">
        <f t="shared" si="1"/>
        <v>0</v>
      </c>
      <c r="AF13" s="1423">
        <f t="shared" si="1"/>
        <v>0</v>
      </c>
      <c r="AG13" s="1423">
        <f t="shared" si="1"/>
        <v>0</v>
      </c>
    </row>
    <row r="14" spans="1:33" x14ac:dyDescent="0.2">
      <c r="A14" s="1500" t="s">
        <v>508</v>
      </c>
      <c r="B14" s="1498"/>
      <c r="C14" s="1498"/>
      <c r="D14" s="1498"/>
      <c r="E14" s="1498"/>
      <c r="F14" s="1498"/>
      <c r="G14" s="1498"/>
      <c r="H14" s="1498"/>
      <c r="I14" s="3184"/>
      <c r="J14" s="2094"/>
      <c r="K14" s="1498"/>
      <c r="L14" s="1498"/>
      <c r="M14" s="1498"/>
      <c r="N14" s="1498"/>
      <c r="O14" s="1498"/>
      <c r="P14" s="1498"/>
      <c r="Q14" s="1498"/>
      <c r="R14" s="1498"/>
      <c r="S14" s="1498"/>
      <c r="T14" s="1498"/>
      <c r="U14" s="1498"/>
      <c r="V14" s="1498"/>
      <c r="W14" s="1498"/>
      <c r="X14" s="1498"/>
      <c r="Y14" s="1498"/>
      <c r="Z14" s="1498"/>
      <c r="AA14" s="1498"/>
    </row>
    <row r="15" spans="1:33" x14ac:dyDescent="0.2">
      <c r="A15" s="1501" t="s">
        <v>1200</v>
      </c>
      <c r="B15" s="1505" t="s">
        <v>682</v>
      </c>
      <c r="C15" s="3181" t="s">
        <v>1101</v>
      </c>
      <c r="D15" s="3182"/>
      <c r="E15" s="3183"/>
      <c r="F15" s="3182" t="s">
        <v>1102</v>
      </c>
      <c r="G15" s="3182"/>
      <c r="H15" s="3183"/>
      <c r="I15" s="3184"/>
      <c r="J15" s="3205"/>
      <c r="K15" s="1498"/>
      <c r="L15" s="1498"/>
      <c r="M15" s="1498"/>
      <c r="N15" s="1498"/>
      <c r="O15" s="1498"/>
      <c r="P15" s="1498"/>
      <c r="Q15" s="1498"/>
      <c r="R15" s="1498"/>
      <c r="S15" s="1498"/>
      <c r="T15" s="1498"/>
      <c r="U15" s="1498"/>
      <c r="V15" s="1498"/>
      <c r="W15" s="1498"/>
      <c r="X15" s="1498"/>
      <c r="Y15" s="1498"/>
      <c r="Z15" s="1498"/>
      <c r="AA15" s="1498"/>
      <c r="AB15" s="3185" t="s">
        <v>1346</v>
      </c>
      <c r="AC15" s="3186"/>
      <c r="AD15" s="3186"/>
      <c r="AE15" s="3185" t="s">
        <v>1347</v>
      </c>
      <c r="AF15" s="3186"/>
      <c r="AG15" s="3186"/>
    </row>
    <row r="16" spans="1:33" x14ac:dyDescent="0.2">
      <c r="A16" s="1502"/>
      <c r="B16" s="1503" t="s">
        <v>1103</v>
      </c>
      <c r="C16" s="1506" t="s">
        <v>625</v>
      </c>
      <c r="D16" s="1503" t="s">
        <v>187</v>
      </c>
      <c r="E16" s="1504" t="s">
        <v>665</v>
      </c>
      <c r="F16" s="1503" t="s">
        <v>625</v>
      </c>
      <c r="G16" s="1503" t="s">
        <v>187</v>
      </c>
      <c r="H16" s="1504" t="s">
        <v>665</v>
      </c>
      <c r="I16" s="3184"/>
      <c r="J16" s="3205"/>
      <c r="K16" s="1498"/>
      <c r="L16" s="1498"/>
      <c r="M16" s="1498"/>
      <c r="N16" s="1498"/>
      <c r="O16" s="1498"/>
      <c r="P16" s="1498"/>
      <c r="Q16" s="1498"/>
      <c r="R16" s="1498"/>
      <c r="S16" s="1498"/>
      <c r="T16" s="1498"/>
      <c r="U16" s="1498"/>
      <c r="V16" s="1498"/>
      <c r="W16" s="1498"/>
      <c r="X16" s="1498"/>
      <c r="Y16" s="1498"/>
      <c r="Z16" s="1498"/>
      <c r="AA16" s="1498"/>
      <c r="AB16" s="1423" t="s">
        <v>625</v>
      </c>
      <c r="AC16" s="1423" t="s">
        <v>187</v>
      </c>
      <c r="AD16" s="1423" t="s">
        <v>665</v>
      </c>
      <c r="AE16" s="1423" t="s">
        <v>625</v>
      </c>
      <c r="AF16" s="1423" t="s">
        <v>187</v>
      </c>
      <c r="AG16" s="1423" t="s">
        <v>665</v>
      </c>
    </row>
    <row r="17" spans="1:33" x14ac:dyDescent="0.2">
      <c r="A17" s="1547" t="s">
        <v>2466</v>
      </c>
      <c r="B17" s="1508">
        <v>5</v>
      </c>
      <c r="C17" s="1507">
        <v>10</v>
      </c>
      <c r="D17" s="1508">
        <v>24</v>
      </c>
      <c r="E17" s="1509">
        <v>75</v>
      </c>
      <c r="F17" s="1508">
        <v>90</v>
      </c>
      <c r="G17" s="1508">
        <v>40</v>
      </c>
      <c r="H17" s="1926">
        <v>40</v>
      </c>
      <c r="I17" s="3184"/>
      <c r="J17" s="3206" t="s">
        <v>1513</v>
      </c>
      <c r="K17" s="3206"/>
      <c r="L17" s="3206"/>
      <c r="M17" s="3206"/>
      <c r="N17" s="1498"/>
      <c r="O17" s="1498"/>
      <c r="P17" s="1498"/>
      <c r="Q17" s="1498"/>
      <c r="R17" s="1498"/>
      <c r="S17" s="1498"/>
      <c r="T17" s="1498"/>
      <c r="U17" s="1498"/>
      <c r="V17" s="1498"/>
      <c r="W17" s="1498"/>
      <c r="X17" s="1498"/>
      <c r="Y17" s="1498"/>
      <c r="Z17" s="1498"/>
      <c r="AA17" s="1498"/>
      <c r="AB17" s="1423">
        <f t="shared" ref="AB17:AB22" si="2">$B17*C17</f>
        <v>50</v>
      </c>
      <c r="AC17" s="1423">
        <f t="shared" ref="AC17:AC22" si="3">$B17*D17</f>
        <v>120</v>
      </c>
      <c r="AD17" s="1423">
        <f t="shared" ref="AD17:AD22" si="4">$B17*E17</f>
        <v>375</v>
      </c>
      <c r="AE17" s="1423">
        <f t="shared" ref="AE17:AE22" si="5">$B17*F17</f>
        <v>450</v>
      </c>
      <c r="AF17" s="1423">
        <f t="shared" ref="AF17:AF22" si="6">$B17*G17</f>
        <v>200</v>
      </c>
      <c r="AG17" s="1423">
        <f t="shared" ref="AG17:AG22" si="7">$B17*H17</f>
        <v>200</v>
      </c>
    </row>
    <row r="18" spans="1:33" x14ac:dyDescent="0.2">
      <c r="A18" s="1547" t="s">
        <v>2467</v>
      </c>
      <c r="B18" s="1508">
        <v>15</v>
      </c>
      <c r="C18" s="1507">
        <v>15</v>
      </c>
      <c r="D18" s="1508">
        <v>32</v>
      </c>
      <c r="E18" s="1509">
        <v>98</v>
      </c>
      <c r="F18" s="1508">
        <v>40</v>
      </c>
      <c r="G18" s="1508">
        <v>40</v>
      </c>
      <c r="H18" s="1509">
        <v>60</v>
      </c>
      <c r="I18" s="3184"/>
      <c r="J18" s="2092"/>
      <c r="K18" s="1498"/>
      <c r="L18" s="1498"/>
      <c r="M18" s="1498"/>
      <c r="N18" s="1498"/>
      <c r="O18" s="1498"/>
      <c r="P18" s="1498"/>
      <c r="Q18" s="1498"/>
      <c r="R18" s="1498"/>
      <c r="S18" s="1498"/>
      <c r="T18" s="1498"/>
      <c r="U18" s="1498"/>
      <c r="V18" s="1498"/>
      <c r="W18" s="1498"/>
      <c r="X18" s="1498"/>
      <c r="Y18" s="1498"/>
      <c r="Z18" s="1498"/>
      <c r="AA18" s="1498"/>
      <c r="AB18" s="1423">
        <f t="shared" si="2"/>
        <v>225</v>
      </c>
      <c r="AC18" s="1423">
        <f t="shared" si="3"/>
        <v>480</v>
      </c>
      <c r="AD18" s="1423">
        <f t="shared" si="4"/>
        <v>1470</v>
      </c>
      <c r="AE18" s="1423">
        <f t="shared" si="5"/>
        <v>600</v>
      </c>
      <c r="AF18" s="1423">
        <f t="shared" si="6"/>
        <v>600</v>
      </c>
      <c r="AG18" s="1423">
        <f t="shared" si="7"/>
        <v>900</v>
      </c>
    </row>
    <row r="19" spans="1:33" ht="14.25" x14ac:dyDescent="0.2">
      <c r="A19" s="1547" t="s">
        <v>2470</v>
      </c>
      <c r="B19" s="1508">
        <v>5</v>
      </c>
      <c r="C19" s="1507">
        <v>0</v>
      </c>
      <c r="D19" s="1508">
        <v>0</v>
      </c>
      <c r="E19" s="1509">
        <v>0</v>
      </c>
      <c r="F19" s="1508">
        <v>0</v>
      </c>
      <c r="G19" s="1508">
        <v>45</v>
      </c>
      <c r="H19" s="1509">
        <v>75</v>
      </c>
      <c r="I19" s="3184"/>
      <c r="J19" s="3207" t="s">
        <v>1515</v>
      </c>
      <c r="K19" s="3207"/>
      <c r="L19" s="3207"/>
      <c r="M19" s="3207"/>
      <c r="N19" s="1498"/>
      <c r="O19" s="1498"/>
      <c r="P19" s="1498"/>
      <c r="Q19" s="1498"/>
      <c r="R19" s="1498"/>
      <c r="S19" s="1498"/>
      <c r="T19" s="1498"/>
      <c r="U19" s="1498"/>
      <c r="V19" s="1498"/>
      <c r="W19" s="1498"/>
      <c r="X19" s="1498"/>
      <c r="Y19" s="1498"/>
      <c r="Z19" s="1498"/>
      <c r="AA19" s="1498"/>
      <c r="AB19" s="1423">
        <f t="shared" si="2"/>
        <v>0</v>
      </c>
      <c r="AC19" s="1423">
        <f t="shared" si="3"/>
        <v>0</v>
      </c>
      <c r="AD19" s="1423">
        <f t="shared" si="4"/>
        <v>0</v>
      </c>
      <c r="AE19" s="1423">
        <f t="shared" si="5"/>
        <v>0</v>
      </c>
      <c r="AF19" s="1423">
        <f t="shared" si="6"/>
        <v>225</v>
      </c>
      <c r="AG19" s="1423">
        <f t="shared" si="7"/>
        <v>375</v>
      </c>
    </row>
    <row r="20" spans="1:33" x14ac:dyDescent="0.2">
      <c r="A20" s="1547"/>
      <c r="B20" s="1508"/>
      <c r="C20" s="1507"/>
      <c r="D20" s="1508"/>
      <c r="E20" s="1509"/>
      <c r="F20" s="1508"/>
      <c r="G20" s="1508"/>
      <c r="H20" s="1509"/>
      <c r="I20" s="3184"/>
      <c r="J20" s="2093"/>
      <c r="K20" s="1498"/>
      <c r="L20" s="1498"/>
      <c r="M20" s="1498"/>
      <c r="N20" s="1498"/>
      <c r="O20" s="1498"/>
      <c r="P20" s="1498"/>
      <c r="Q20" s="1498"/>
      <c r="R20" s="1498"/>
      <c r="S20" s="1498"/>
      <c r="T20" s="1498"/>
      <c r="U20" s="1498"/>
      <c r="V20" s="1498"/>
      <c r="W20" s="1498"/>
      <c r="X20" s="1498"/>
      <c r="Y20" s="1498"/>
      <c r="Z20" s="1498"/>
      <c r="AA20" s="1498"/>
      <c r="AB20" s="1423">
        <f t="shared" si="2"/>
        <v>0</v>
      </c>
      <c r="AC20" s="1423">
        <f t="shared" si="3"/>
        <v>0</v>
      </c>
      <c r="AD20" s="1423">
        <f t="shared" si="4"/>
        <v>0</v>
      </c>
      <c r="AE20" s="1423">
        <f t="shared" si="5"/>
        <v>0</v>
      </c>
      <c r="AF20" s="1423">
        <f t="shared" si="6"/>
        <v>0</v>
      </c>
      <c r="AG20" s="1423">
        <f t="shared" si="7"/>
        <v>0</v>
      </c>
    </row>
    <row r="21" spans="1:33" ht="12.75" customHeight="1" x14ac:dyDescent="0.2">
      <c r="A21" s="1547" t="s">
        <v>2471</v>
      </c>
      <c r="B21" s="1508"/>
      <c r="C21" s="1507">
        <v>0</v>
      </c>
      <c r="D21" s="1508"/>
      <c r="E21" s="1509"/>
      <c r="F21" s="1508">
        <v>0</v>
      </c>
      <c r="G21" s="1508"/>
      <c r="H21" s="1509"/>
      <c r="I21" s="3184"/>
      <c r="J21" s="3204" t="s">
        <v>1672</v>
      </c>
      <c r="K21" s="3204"/>
      <c r="L21" s="3204"/>
      <c r="M21" s="3204"/>
      <c r="N21" s="1498"/>
      <c r="O21" s="1498"/>
      <c r="P21" s="1498"/>
      <c r="Q21" s="1498"/>
      <c r="R21" s="1498"/>
      <c r="S21" s="1498"/>
      <c r="T21" s="1498"/>
      <c r="U21" s="1498"/>
      <c r="V21" s="1498"/>
      <c r="W21" s="1498"/>
      <c r="X21" s="1498"/>
      <c r="Y21" s="1498"/>
      <c r="Z21" s="1498"/>
      <c r="AA21" s="1498"/>
      <c r="AB21" s="1423">
        <f t="shared" si="2"/>
        <v>0</v>
      </c>
      <c r="AC21" s="1423">
        <f t="shared" si="3"/>
        <v>0</v>
      </c>
      <c r="AD21" s="1423">
        <f t="shared" si="4"/>
        <v>0</v>
      </c>
      <c r="AE21" s="1423">
        <f t="shared" si="5"/>
        <v>0</v>
      </c>
      <c r="AF21" s="1423">
        <f t="shared" si="6"/>
        <v>0</v>
      </c>
      <c r="AG21" s="1423">
        <f t="shared" si="7"/>
        <v>0</v>
      </c>
    </row>
    <row r="22" spans="1:33" x14ac:dyDescent="0.2">
      <c r="A22" s="1547"/>
      <c r="B22" s="1508"/>
      <c r="C22" s="1507"/>
      <c r="D22" s="1508"/>
      <c r="E22" s="1509"/>
      <c r="F22" s="1508"/>
      <c r="G22" s="1508"/>
      <c r="H22" s="1509"/>
      <c r="I22" s="3184"/>
      <c r="J22" s="3204"/>
      <c r="K22" s="3204"/>
      <c r="L22" s="3204"/>
      <c r="M22" s="3204"/>
      <c r="N22" s="1498"/>
      <c r="O22" s="1498"/>
      <c r="P22" s="1498"/>
      <c r="Q22" s="1498"/>
      <c r="R22" s="1498"/>
      <c r="S22" s="1498"/>
      <c r="T22" s="1498"/>
      <c r="U22" s="1498"/>
      <c r="V22" s="1498"/>
      <c r="W22" s="1498"/>
      <c r="X22" s="1498"/>
      <c r="Y22" s="1498"/>
      <c r="Z22" s="1498"/>
      <c r="AA22" s="1498"/>
      <c r="AB22" s="1423">
        <f t="shared" si="2"/>
        <v>0</v>
      </c>
      <c r="AC22" s="1423">
        <f t="shared" si="3"/>
        <v>0</v>
      </c>
      <c r="AD22" s="1423">
        <f t="shared" si="4"/>
        <v>0</v>
      </c>
      <c r="AE22" s="1423">
        <f t="shared" si="5"/>
        <v>0</v>
      </c>
      <c r="AF22" s="1423">
        <f t="shared" si="6"/>
        <v>0</v>
      </c>
      <c r="AG22" s="1423">
        <f t="shared" si="7"/>
        <v>0</v>
      </c>
    </row>
    <row r="23" spans="1:33" ht="12.75" customHeight="1" x14ac:dyDescent="0.2">
      <c r="A23" s="2060" t="s">
        <v>2143</v>
      </c>
      <c r="B23" s="2059" t="s">
        <v>682</v>
      </c>
      <c r="C23" s="3181" t="s">
        <v>1346</v>
      </c>
      <c r="D23" s="3182"/>
      <c r="E23" s="3183"/>
      <c r="F23" s="3182" t="s">
        <v>1347</v>
      </c>
      <c r="G23" s="3182"/>
      <c r="H23" s="3183"/>
      <c r="I23" s="3184"/>
      <c r="J23" s="2094"/>
      <c r="K23" s="1498"/>
      <c r="L23" s="1498"/>
      <c r="M23" s="1498"/>
      <c r="N23" s="1498"/>
      <c r="O23" s="1498"/>
      <c r="P23" s="1498"/>
      <c r="Q23" s="1498"/>
      <c r="R23" s="1498"/>
      <c r="S23" s="1498"/>
      <c r="T23" s="1498"/>
      <c r="U23" s="1498"/>
      <c r="V23" s="1498"/>
      <c r="W23" s="1498"/>
      <c r="X23" s="1498"/>
      <c r="Y23" s="1498"/>
      <c r="Z23" s="1498"/>
      <c r="AA23" s="1498"/>
    </row>
    <row r="24" spans="1:33" x14ac:dyDescent="0.2">
      <c r="A24" s="2061"/>
      <c r="B24" s="1503" t="s">
        <v>1103</v>
      </c>
      <c r="C24" s="1506" t="s">
        <v>625</v>
      </c>
      <c r="D24" s="1503" t="s">
        <v>187</v>
      </c>
      <c r="E24" s="1504" t="s">
        <v>665</v>
      </c>
      <c r="F24" s="1503" t="s">
        <v>625</v>
      </c>
      <c r="G24" s="1503" t="s">
        <v>187</v>
      </c>
      <c r="H24" s="1504" t="s">
        <v>665</v>
      </c>
      <c r="I24" s="3184"/>
      <c r="J24" s="2097" t="s">
        <v>2193</v>
      </c>
      <c r="K24" s="2098" t="s">
        <v>2196</v>
      </c>
      <c r="L24" s="2098"/>
      <c r="M24" s="1500" t="s">
        <v>2197</v>
      </c>
      <c r="N24" s="1498"/>
      <c r="O24" s="1498"/>
      <c r="P24" s="1498"/>
      <c r="Q24" s="1498"/>
      <c r="R24" s="1498"/>
      <c r="S24" s="1498"/>
      <c r="T24" s="1498"/>
      <c r="U24" s="1498"/>
      <c r="V24" s="1498"/>
      <c r="W24" s="1498"/>
      <c r="X24" s="1498"/>
      <c r="Y24" s="1498"/>
      <c r="Z24" s="1498"/>
      <c r="AA24" s="1498"/>
    </row>
    <row r="25" spans="1:33" x14ac:dyDescent="0.2">
      <c r="A25" s="2066" t="s">
        <v>1063</v>
      </c>
      <c r="B25" s="2071">
        <f>SUM(B8:B13)</f>
        <v>65</v>
      </c>
      <c r="C25" s="2063">
        <f t="shared" ref="C25:H25" si="8">SUM(AB8:AB13)</f>
        <v>764</v>
      </c>
      <c r="D25" s="2064">
        <f t="shared" si="8"/>
        <v>1609</v>
      </c>
      <c r="E25" s="2065">
        <f t="shared" si="8"/>
        <v>5388</v>
      </c>
      <c r="F25" s="2064">
        <f t="shared" si="8"/>
        <v>4390</v>
      </c>
      <c r="G25" s="2064">
        <f t="shared" si="8"/>
        <v>2520</v>
      </c>
      <c r="H25" s="2065">
        <f t="shared" si="8"/>
        <v>7480</v>
      </c>
      <c r="I25" s="3184"/>
      <c r="J25" s="2096" t="s">
        <v>2194</v>
      </c>
      <c r="K25" s="2100"/>
      <c r="L25" s="2100"/>
      <c r="M25" s="2099">
        <f>24.8*K25^0.64</f>
        <v>0</v>
      </c>
      <c r="N25" s="1826" t="s">
        <v>2198</v>
      </c>
      <c r="O25" s="1498"/>
      <c r="P25" s="1498"/>
      <c r="Q25" s="1498"/>
      <c r="R25" s="1498"/>
      <c r="S25" s="1498"/>
      <c r="T25" s="1498"/>
      <c r="U25" s="1498"/>
      <c r="V25" s="1498"/>
      <c r="W25" s="1498"/>
      <c r="X25" s="1498"/>
      <c r="Y25" s="1498"/>
      <c r="Z25" s="1498"/>
      <c r="AA25" s="1498"/>
    </row>
    <row r="26" spans="1:33" x14ac:dyDescent="0.2">
      <c r="A26" s="2066" t="s">
        <v>2144</v>
      </c>
      <c r="B26" s="2072">
        <f>SUM(B17:B22)</f>
        <v>25</v>
      </c>
      <c r="C26" s="2074">
        <f t="shared" ref="C26:H26" si="9">SUM(AB17:AB22)</f>
        <v>275</v>
      </c>
      <c r="D26" s="2062">
        <f t="shared" si="9"/>
        <v>600</v>
      </c>
      <c r="E26" s="2067">
        <f t="shared" si="9"/>
        <v>1845</v>
      </c>
      <c r="F26" s="2062">
        <f t="shared" si="9"/>
        <v>1050</v>
      </c>
      <c r="G26" s="2062">
        <f t="shared" si="9"/>
        <v>1025</v>
      </c>
      <c r="H26" s="2067">
        <f t="shared" si="9"/>
        <v>1475</v>
      </c>
      <c r="I26" s="3184"/>
      <c r="J26" s="2096" t="s">
        <v>2195</v>
      </c>
      <c r="K26" s="2100"/>
      <c r="L26" s="2100"/>
      <c r="M26" s="2099">
        <f>41.3*K26^0.44</f>
        <v>0</v>
      </c>
      <c r="N26" s="1826" t="s">
        <v>2198</v>
      </c>
      <c r="O26" s="1498"/>
      <c r="P26" s="1498"/>
      <c r="Q26" s="1498"/>
      <c r="R26" s="1498"/>
      <c r="S26" s="1498"/>
      <c r="T26" s="1498"/>
      <c r="U26" s="1498"/>
      <c r="V26" s="1498"/>
      <c r="W26" s="1498"/>
      <c r="X26" s="1498"/>
      <c r="Y26" s="1498"/>
      <c r="Z26" s="1498"/>
      <c r="AA26" s="1498"/>
    </row>
    <row r="27" spans="1:33" x14ac:dyDescent="0.2">
      <c r="A27" s="2068" t="s">
        <v>2145</v>
      </c>
      <c r="B27" s="2073">
        <f>B25+B26</f>
        <v>90</v>
      </c>
      <c r="C27" s="2075">
        <f t="shared" ref="C27:H27" si="10">C25+C26</f>
        <v>1039</v>
      </c>
      <c r="D27" s="2069">
        <f t="shared" si="10"/>
        <v>2209</v>
      </c>
      <c r="E27" s="2070">
        <f t="shared" si="10"/>
        <v>7233</v>
      </c>
      <c r="F27" s="2069">
        <f t="shared" si="10"/>
        <v>5440</v>
      </c>
      <c r="G27" s="2069">
        <f t="shared" si="10"/>
        <v>3545</v>
      </c>
      <c r="H27" s="2070">
        <f t="shared" si="10"/>
        <v>8955</v>
      </c>
      <c r="I27" s="3184"/>
      <c r="J27" s="2096" t="s">
        <v>1308</v>
      </c>
      <c r="K27" s="2100"/>
      <c r="L27" s="2100"/>
      <c r="M27" s="2099">
        <f>26*K27^0.45</f>
        <v>0</v>
      </c>
      <c r="N27" s="1826" t="s">
        <v>2198</v>
      </c>
      <c r="O27" s="1498"/>
      <c r="P27" s="1498"/>
      <c r="Q27" s="1498"/>
      <c r="R27" s="1498"/>
      <c r="S27" s="1498"/>
      <c r="T27" s="1498"/>
      <c r="U27" s="1498"/>
      <c r="V27" s="1498"/>
      <c r="W27" s="1498"/>
      <c r="X27" s="1498"/>
      <c r="Y27" s="1498"/>
      <c r="Z27" s="1498"/>
      <c r="AA27" s="1498"/>
    </row>
    <row r="28" spans="1:33" ht="12.75" customHeight="1" x14ac:dyDescent="0.2">
      <c r="A28" s="1826"/>
      <c r="B28" s="1498"/>
      <c r="C28" s="1498"/>
      <c r="D28" s="1498"/>
      <c r="E28" s="1498"/>
      <c r="F28" s="1498"/>
      <c r="G28" s="1498"/>
      <c r="H28" s="1498"/>
      <c r="I28" s="3184"/>
      <c r="J28" s="3208" t="s">
        <v>2199</v>
      </c>
      <c r="K28" s="3208"/>
      <c r="L28" s="3208"/>
      <c r="M28" s="3208"/>
      <c r="N28" s="3208"/>
      <c r="O28" s="1498"/>
      <c r="P28" s="1498"/>
      <c r="Q28" s="1498"/>
      <c r="R28" s="1498"/>
      <c r="S28" s="1498"/>
      <c r="T28" s="1498"/>
      <c r="U28" s="1498"/>
      <c r="V28" s="1498"/>
      <c r="W28" s="1498"/>
      <c r="X28" s="1498"/>
      <c r="Y28" s="1498"/>
      <c r="Z28" s="1498"/>
      <c r="AA28" s="1498"/>
    </row>
    <row r="29" spans="1:33" ht="15.75" x14ac:dyDescent="0.25">
      <c r="A29" s="1499" t="s">
        <v>1104</v>
      </c>
      <c r="B29" s="1498"/>
      <c r="C29" s="1498"/>
      <c r="D29" s="1498"/>
      <c r="E29" s="1498"/>
      <c r="F29" s="1498"/>
      <c r="G29" s="1498"/>
      <c r="H29" s="1498"/>
      <c r="I29" s="3184"/>
      <c r="J29" s="3208"/>
      <c r="K29" s="3208"/>
      <c r="L29" s="3208"/>
      <c r="M29" s="3208"/>
      <c r="N29" s="3208"/>
      <c r="O29" s="1498"/>
      <c r="P29" s="1498"/>
      <c r="Q29" s="1498"/>
      <c r="R29" s="1498"/>
      <c r="S29" s="1498"/>
      <c r="T29" s="1498"/>
      <c r="U29" s="1498"/>
      <c r="V29" s="1498"/>
      <c r="W29" s="1498"/>
      <c r="X29" s="1498"/>
      <c r="Y29" s="1498"/>
      <c r="Z29" s="1498"/>
      <c r="AA29" s="1498"/>
    </row>
    <row r="30" spans="1:33" x14ac:dyDescent="0.2">
      <c r="A30" s="1501" t="s">
        <v>1100</v>
      </c>
      <c r="B30" s="1505" t="s">
        <v>682</v>
      </c>
      <c r="C30" s="3181" t="s">
        <v>1101</v>
      </c>
      <c r="D30" s="3182"/>
      <c r="E30" s="3183"/>
      <c r="F30" s="3181" t="s">
        <v>1102</v>
      </c>
      <c r="G30" s="3182"/>
      <c r="H30" s="3183"/>
      <c r="I30" s="3184"/>
      <c r="J30" s="2094"/>
      <c r="K30" s="1498"/>
      <c r="L30" s="1498"/>
      <c r="M30" s="1498"/>
      <c r="N30" s="1498"/>
      <c r="O30" s="1498"/>
      <c r="P30" s="1498"/>
      <c r="Q30" s="1498"/>
      <c r="R30" s="1498"/>
      <c r="S30" s="1498"/>
      <c r="T30" s="1498"/>
      <c r="U30" s="1498"/>
      <c r="V30" s="1498"/>
      <c r="W30" s="1498"/>
      <c r="X30" s="1498"/>
      <c r="Y30" s="1498"/>
      <c r="Z30" s="1498"/>
      <c r="AA30" s="1498"/>
      <c r="AB30" s="3185" t="s">
        <v>1346</v>
      </c>
      <c r="AC30" s="3186"/>
      <c r="AD30" s="3186"/>
      <c r="AE30" s="3185" t="s">
        <v>1347</v>
      </c>
      <c r="AF30" s="3186"/>
      <c r="AG30" s="3186"/>
    </row>
    <row r="31" spans="1:33" x14ac:dyDescent="0.2">
      <c r="A31" s="1502"/>
      <c r="B31" s="1503" t="s">
        <v>1103</v>
      </c>
      <c r="C31" s="1506" t="s">
        <v>625</v>
      </c>
      <c r="D31" s="1503" t="s">
        <v>187</v>
      </c>
      <c r="E31" s="1504" t="s">
        <v>665</v>
      </c>
      <c r="F31" s="1506" t="s">
        <v>625</v>
      </c>
      <c r="G31" s="1503" t="s">
        <v>187</v>
      </c>
      <c r="H31" s="1504" t="s">
        <v>665</v>
      </c>
      <c r="I31" s="3184"/>
      <c r="J31" s="2094"/>
      <c r="K31" s="1498"/>
      <c r="L31" s="1498"/>
      <c r="M31" s="1498"/>
      <c r="N31" s="1498"/>
      <c r="O31" s="1498"/>
      <c r="P31" s="1498"/>
      <c r="Q31" s="1498"/>
      <c r="R31" s="1498"/>
      <c r="S31" s="1498"/>
      <c r="T31" s="1498"/>
      <c r="U31" s="1498"/>
      <c r="V31" s="1498"/>
      <c r="W31" s="1498"/>
      <c r="X31" s="1498"/>
      <c r="Y31" s="1498"/>
      <c r="Z31" s="1498"/>
      <c r="AA31" s="1498"/>
      <c r="AB31" s="1423" t="s">
        <v>625</v>
      </c>
      <c r="AC31" s="1423" t="s">
        <v>187</v>
      </c>
      <c r="AD31" s="1423" t="s">
        <v>665</v>
      </c>
      <c r="AE31" s="1423" t="s">
        <v>625</v>
      </c>
      <c r="AF31" s="1423" t="s">
        <v>187</v>
      </c>
      <c r="AG31" s="1423" t="s">
        <v>665</v>
      </c>
    </row>
    <row r="32" spans="1:33" x14ac:dyDescent="0.2">
      <c r="A32" s="1547"/>
      <c r="B32" s="1665"/>
      <c r="C32" s="1507"/>
      <c r="D32" s="1508"/>
      <c r="E32" s="1509"/>
      <c r="F32" s="1507"/>
      <c r="G32" s="1508"/>
      <c r="H32" s="1926"/>
      <c r="I32" s="3184"/>
      <c r="J32" s="3206" t="s">
        <v>1513</v>
      </c>
      <c r="K32" s="3206"/>
      <c r="L32" s="3206"/>
      <c r="M32" s="3206"/>
      <c r="N32" s="1498"/>
      <c r="O32" s="1498"/>
      <c r="P32" s="1498"/>
      <c r="Q32" s="1498"/>
      <c r="R32" s="1498"/>
      <c r="S32" s="1498"/>
      <c r="T32" s="1498"/>
      <c r="U32" s="1498"/>
      <c r="V32" s="1498"/>
      <c r="W32" s="1498"/>
      <c r="X32" s="1498"/>
      <c r="Y32" s="1498"/>
      <c r="Z32" s="1498"/>
      <c r="AA32" s="1498"/>
      <c r="AB32" s="1423">
        <f>$B32*C32</f>
        <v>0</v>
      </c>
      <c r="AC32" s="1423">
        <f>$B32*D32</f>
        <v>0</v>
      </c>
      <c r="AD32" s="1423">
        <f t="shared" ref="AD32:AD40" si="11">$B32*E32</f>
        <v>0</v>
      </c>
      <c r="AE32" s="1423">
        <f t="shared" ref="AE32:AE40" si="12">$B32*F32</f>
        <v>0</v>
      </c>
      <c r="AF32" s="1423">
        <f t="shared" ref="AF32:AF40" si="13">$B32*G32</f>
        <v>0</v>
      </c>
      <c r="AG32" s="1423">
        <f t="shared" ref="AG32:AG39" si="14">$B32*H32</f>
        <v>0</v>
      </c>
    </row>
    <row r="33" spans="1:33" x14ac:dyDescent="0.2">
      <c r="A33" s="1547"/>
      <c r="B33" s="1508"/>
      <c r="C33" s="1507"/>
      <c r="D33" s="1508"/>
      <c r="E33" s="1509"/>
      <c r="F33" s="1507"/>
      <c r="G33" s="1508"/>
      <c r="H33" s="1509"/>
      <c r="I33" s="3184"/>
      <c r="J33" s="2092"/>
      <c r="K33" s="1498"/>
      <c r="L33" s="1498"/>
      <c r="M33" s="1498"/>
      <c r="N33" s="1498"/>
      <c r="O33" s="1498"/>
      <c r="P33" s="1498"/>
      <c r="Q33" s="1498"/>
      <c r="R33" s="1498"/>
      <c r="S33" s="1498"/>
      <c r="T33" s="1498"/>
      <c r="U33" s="1498"/>
      <c r="V33" s="1498"/>
      <c r="W33" s="1498"/>
      <c r="X33" s="1498"/>
      <c r="Y33" s="1498"/>
      <c r="Z33" s="1498"/>
      <c r="AA33" s="1498"/>
      <c r="AB33" s="1423">
        <f t="shared" ref="AB33:AB40" si="15">$B33*C33</f>
        <v>0</v>
      </c>
      <c r="AC33" s="1423">
        <f t="shared" ref="AC33:AC40" si="16">$B33*D33</f>
        <v>0</v>
      </c>
      <c r="AD33" s="1423">
        <f t="shared" si="11"/>
        <v>0</v>
      </c>
      <c r="AE33" s="1423">
        <f t="shared" si="12"/>
        <v>0</v>
      </c>
      <c r="AF33" s="1423">
        <f t="shared" si="13"/>
        <v>0</v>
      </c>
      <c r="AG33" s="1423">
        <f t="shared" si="14"/>
        <v>0</v>
      </c>
    </row>
    <row r="34" spans="1:33" ht="14.25" x14ac:dyDescent="0.2">
      <c r="A34" s="1507"/>
      <c r="B34" s="1508"/>
      <c r="C34" s="1507"/>
      <c r="D34" s="1508"/>
      <c r="E34" s="1509"/>
      <c r="F34" s="1507"/>
      <c r="G34" s="1508"/>
      <c r="H34" s="1509"/>
      <c r="I34" s="3184"/>
      <c r="J34" s="3207" t="s">
        <v>1515</v>
      </c>
      <c r="K34" s="3207"/>
      <c r="L34" s="3207"/>
      <c r="M34" s="3207"/>
      <c r="N34" s="1498"/>
      <c r="O34" s="1498"/>
      <c r="P34" s="1498"/>
      <c r="Q34" s="1498"/>
      <c r="R34" s="1498"/>
      <c r="S34" s="1498"/>
      <c r="T34" s="1498"/>
      <c r="U34" s="1498"/>
      <c r="V34" s="1498"/>
      <c r="W34" s="1498"/>
      <c r="X34" s="1498"/>
      <c r="Y34" s="1498"/>
      <c r="Z34" s="1498"/>
      <c r="AA34" s="1498"/>
      <c r="AB34" s="1423">
        <f t="shared" si="15"/>
        <v>0</v>
      </c>
      <c r="AC34" s="1423">
        <f t="shared" si="16"/>
        <v>0</v>
      </c>
      <c r="AD34" s="1423">
        <f t="shared" si="11"/>
        <v>0</v>
      </c>
      <c r="AE34" s="1423">
        <f t="shared" si="12"/>
        <v>0</v>
      </c>
      <c r="AF34" s="1423">
        <f t="shared" si="13"/>
        <v>0</v>
      </c>
      <c r="AG34" s="1423">
        <f t="shared" si="14"/>
        <v>0</v>
      </c>
    </row>
    <row r="35" spans="1:33" x14ac:dyDescent="0.2">
      <c r="A35" s="1507"/>
      <c r="B35" s="1508"/>
      <c r="C35" s="1507"/>
      <c r="D35" s="1508"/>
      <c r="E35" s="1509"/>
      <c r="F35" s="1507"/>
      <c r="G35" s="1508"/>
      <c r="H35" s="1509"/>
      <c r="I35" s="3184"/>
      <c r="J35" s="2093"/>
      <c r="K35" s="1498"/>
      <c r="L35" s="1498"/>
      <c r="M35" s="1498"/>
      <c r="N35" s="1498"/>
      <c r="O35" s="1498"/>
      <c r="P35" s="1498"/>
      <c r="Q35" s="1498"/>
      <c r="R35" s="1498"/>
      <c r="S35" s="1498"/>
      <c r="T35" s="1498"/>
      <c r="U35" s="1498"/>
      <c r="V35" s="1498"/>
      <c r="W35" s="1498"/>
      <c r="X35" s="1498"/>
      <c r="Y35" s="1498"/>
      <c r="Z35" s="1498"/>
      <c r="AA35" s="1498"/>
      <c r="AB35" s="1423">
        <f t="shared" ref="AB35:AG37" si="17">$B35*C35</f>
        <v>0</v>
      </c>
      <c r="AC35" s="1423">
        <f t="shared" si="17"/>
        <v>0</v>
      </c>
      <c r="AD35" s="1423">
        <f t="shared" si="17"/>
        <v>0</v>
      </c>
      <c r="AE35" s="1423">
        <f t="shared" si="17"/>
        <v>0</v>
      </c>
      <c r="AF35" s="1423">
        <f t="shared" si="17"/>
        <v>0</v>
      </c>
      <c r="AG35" s="1423">
        <f t="shared" si="17"/>
        <v>0</v>
      </c>
    </row>
    <row r="36" spans="1:33" ht="12.75" customHeight="1" x14ac:dyDescent="0.2">
      <c r="A36" s="1507"/>
      <c r="B36" s="1508"/>
      <c r="C36" s="1507"/>
      <c r="D36" s="1508"/>
      <c r="E36" s="1509"/>
      <c r="F36" s="1507"/>
      <c r="G36" s="1508"/>
      <c r="H36" s="1509"/>
      <c r="I36" s="3184"/>
      <c r="J36" s="3204" t="s">
        <v>1672</v>
      </c>
      <c r="K36" s="3204"/>
      <c r="L36" s="3204"/>
      <c r="M36" s="3204"/>
      <c r="N36" s="1498"/>
      <c r="O36" s="1498"/>
      <c r="P36" s="1498"/>
      <c r="Q36" s="1498"/>
      <c r="R36" s="1498"/>
      <c r="S36" s="1498"/>
      <c r="T36" s="1498"/>
      <c r="U36" s="1498"/>
      <c r="V36" s="1498"/>
      <c r="W36" s="1498"/>
      <c r="X36" s="1498"/>
      <c r="Y36" s="1498"/>
      <c r="Z36" s="1498"/>
      <c r="AA36" s="1498"/>
      <c r="AB36" s="1423">
        <f t="shared" si="17"/>
        <v>0</v>
      </c>
      <c r="AC36" s="1423">
        <f t="shared" si="17"/>
        <v>0</v>
      </c>
      <c r="AD36" s="1423">
        <f t="shared" si="17"/>
        <v>0</v>
      </c>
      <c r="AE36" s="1423">
        <f t="shared" si="17"/>
        <v>0</v>
      </c>
      <c r="AF36" s="1423">
        <f t="shared" si="17"/>
        <v>0</v>
      </c>
      <c r="AG36" s="1423">
        <f t="shared" si="17"/>
        <v>0</v>
      </c>
    </row>
    <row r="37" spans="1:33" x14ac:dyDescent="0.2">
      <c r="A37" s="1507"/>
      <c r="B37" s="1508"/>
      <c r="C37" s="1507"/>
      <c r="D37" s="1508"/>
      <c r="E37" s="1509"/>
      <c r="F37" s="1507"/>
      <c r="G37" s="1508"/>
      <c r="H37" s="1509"/>
      <c r="I37" s="3184"/>
      <c r="J37" s="3204"/>
      <c r="K37" s="3204"/>
      <c r="L37" s="3204"/>
      <c r="M37" s="3204"/>
      <c r="N37" s="1498"/>
      <c r="O37" s="1498"/>
      <c r="P37" s="1498"/>
      <c r="Q37" s="1498"/>
      <c r="R37" s="1498"/>
      <c r="S37" s="1498"/>
      <c r="T37" s="1498"/>
      <c r="U37" s="1498"/>
      <c r="V37" s="1498"/>
      <c r="W37" s="1498"/>
      <c r="X37" s="1498"/>
      <c r="Y37" s="1498"/>
      <c r="Z37" s="1498"/>
      <c r="AA37" s="1498"/>
      <c r="AB37" s="1423">
        <f t="shared" si="17"/>
        <v>0</v>
      </c>
      <c r="AC37" s="1423">
        <f t="shared" si="17"/>
        <v>0</v>
      </c>
      <c r="AD37" s="1423">
        <f t="shared" si="17"/>
        <v>0</v>
      </c>
      <c r="AE37" s="1423">
        <f t="shared" si="17"/>
        <v>0</v>
      </c>
      <c r="AF37" s="1423">
        <f t="shared" si="17"/>
        <v>0</v>
      </c>
      <c r="AG37" s="1423">
        <f t="shared" si="17"/>
        <v>0</v>
      </c>
    </row>
    <row r="38" spans="1:33" x14ac:dyDescent="0.2">
      <c r="A38" s="1507"/>
      <c r="B38" s="1508"/>
      <c r="C38" s="1507"/>
      <c r="D38" s="1508"/>
      <c r="E38" s="1509"/>
      <c r="F38" s="1507"/>
      <c r="G38" s="1508"/>
      <c r="H38" s="1509"/>
      <c r="I38" s="2095"/>
      <c r="J38" s="2094"/>
      <c r="K38" s="1498"/>
      <c r="L38" s="1498"/>
      <c r="M38" s="1498"/>
      <c r="N38" s="1498"/>
      <c r="O38" s="1498"/>
      <c r="P38" s="1498"/>
      <c r="Q38" s="1498"/>
      <c r="R38" s="1498"/>
      <c r="S38" s="1498"/>
      <c r="T38" s="1498"/>
      <c r="U38" s="1498"/>
      <c r="V38" s="1498"/>
      <c r="W38" s="1498"/>
      <c r="X38" s="1498"/>
      <c r="Y38" s="1498"/>
      <c r="Z38" s="1498"/>
      <c r="AA38" s="1498"/>
      <c r="AB38" s="1423">
        <f t="shared" si="15"/>
        <v>0</v>
      </c>
      <c r="AC38" s="1423">
        <f t="shared" si="16"/>
        <v>0</v>
      </c>
      <c r="AD38" s="1423">
        <f t="shared" si="11"/>
        <v>0</v>
      </c>
      <c r="AE38" s="1423">
        <f t="shared" si="12"/>
        <v>0</v>
      </c>
      <c r="AF38" s="1423">
        <f t="shared" si="13"/>
        <v>0</v>
      </c>
      <c r="AG38" s="1423">
        <f t="shared" si="14"/>
        <v>0</v>
      </c>
    </row>
    <row r="39" spans="1:33" x14ac:dyDescent="0.2">
      <c r="A39" s="1507"/>
      <c r="B39" s="1508"/>
      <c r="C39" s="1507"/>
      <c r="D39" s="1508"/>
      <c r="E39" s="1509"/>
      <c r="F39" s="1507"/>
      <c r="G39" s="1508"/>
      <c r="H39" s="1509"/>
      <c r="I39" s="1498"/>
      <c r="J39" s="1498"/>
      <c r="K39" s="1498"/>
      <c r="L39" s="1498"/>
      <c r="M39" s="1498"/>
      <c r="N39" s="1498"/>
      <c r="O39" s="1498"/>
      <c r="P39" s="1498"/>
      <c r="Q39" s="1498"/>
      <c r="R39" s="1498"/>
      <c r="S39" s="1498"/>
      <c r="T39" s="1498"/>
      <c r="U39" s="1498"/>
      <c r="V39" s="1498"/>
      <c r="W39" s="1498"/>
      <c r="X39" s="1498"/>
      <c r="Y39" s="1498"/>
      <c r="Z39" s="1498"/>
      <c r="AA39" s="1498"/>
      <c r="AB39" s="1423">
        <f t="shared" si="15"/>
        <v>0</v>
      </c>
      <c r="AC39" s="1423">
        <f t="shared" si="16"/>
        <v>0</v>
      </c>
      <c r="AD39" s="1423">
        <f t="shared" si="11"/>
        <v>0</v>
      </c>
      <c r="AE39" s="1423">
        <f t="shared" si="12"/>
        <v>0</v>
      </c>
      <c r="AF39" s="1423">
        <f t="shared" si="13"/>
        <v>0</v>
      </c>
      <c r="AG39" s="1423">
        <f t="shared" si="14"/>
        <v>0</v>
      </c>
    </row>
    <row r="40" spans="1:33" x14ac:dyDescent="0.2">
      <c r="A40" s="1547"/>
      <c r="B40" s="1508"/>
      <c r="C40" s="1507"/>
      <c r="D40" s="1508"/>
      <c r="E40" s="1509"/>
      <c r="F40" s="1507"/>
      <c r="G40" s="1508"/>
      <c r="H40" s="1926"/>
      <c r="I40" s="1498"/>
      <c r="J40" s="1498"/>
      <c r="K40" s="1498"/>
      <c r="L40" s="1498"/>
      <c r="M40" s="1498"/>
      <c r="N40" s="1498"/>
      <c r="O40" s="1498"/>
      <c r="P40" s="1498"/>
      <c r="Q40" s="1498"/>
      <c r="R40" s="1498"/>
      <c r="S40" s="1498"/>
      <c r="T40" s="1498"/>
      <c r="U40" s="1498"/>
      <c r="V40" s="1498"/>
      <c r="W40" s="1498"/>
      <c r="X40" s="1498"/>
      <c r="Y40" s="1498"/>
      <c r="Z40" s="1498"/>
      <c r="AA40" s="1498"/>
      <c r="AB40" s="1423">
        <f t="shared" si="15"/>
        <v>0</v>
      </c>
      <c r="AC40" s="1423">
        <f t="shared" si="16"/>
        <v>0</v>
      </c>
      <c r="AD40" s="1423">
        <f t="shared" si="11"/>
        <v>0</v>
      </c>
      <c r="AE40" s="1423">
        <f t="shared" si="12"/>
        <v>0</v>
      </c>
      <c r="AF40" s="1423">
        <f t="shared" si="13"/>
        <v>0</v>
      </c>
      <c r="AG40" s="1423">
        <f>$B40*H40</f>
        <v>0</v>
      </c>
    </row>
    <row r="41" spans="1:33" x14ac:dyDescent="0.2">
      <c r="A41" s="3178" t="s">
        <v>1105</v>
      </c>
      <c r="B41" s="1505" t="s">
        <v>682</v>
      </c>
      <c r="C41" s="3181" t="s">
        <v>1346</v>
      </c>
      <c r="D41" s="3182"/>
      <c r="E41" s="3183"/>
      <c r="F41" s="3182" t="s">
        <v>1347</v>
      </c>
      <c r="G41" s="3182"/>
      <c r="H41" s="3183"/>
      <c r="I41" s="1498"/>
      <c r="J41" s="3198" t="s">
        <v>2445</v>
      </c>
      <c r="K41" s="3199"/>
      <c r="L41" s="3199"/>
      <c r="M41" s="3200"/>
      <c r="N41" s="1498"/>
      <c r="O41" s="1498"/>
      <c r="P41" s="1498"/>
      <c r="Q41" s="1498"/>
      <c r="R41" s="1498"/>
      <c r="S41" s="1498"/>
      <c r="T41" s="1498"/>
      <c r="U41" s="1498"/>
      <c r="V41" s="1498"/>
      <c r="W41" s="1498"/>
      <c r="X41" s="1498"/>
      <c r="Y41" s="1498"/>
      <c r="Z41" s="1498"/>
      <c r="AA41" s="1498"/>
    </row>
    <row r="42" spans="1:33" x14ac:dyDescent="0.2">
      <c r="A42" s="3179"/>
      <c r="B42" s="1503" t="s">
        <v>1103</v>
      </c>
      <c r="C42" s="1506" t="s">
        <v>625</v>
      </c>
      <c r="D42" s="1503" t="s">
        <v>187</v>
      </c>
      <c r="E42" s="1504" t="s">
        <v>665</v>
      </c>
      <c r="F42" s="1503" t="s">
        <v>625</v>
      </c>
      <c r="G42" s="1503" t="s">
        <v>187</v>
      </c>
      <c r="H42" s="1504" t="s">
        <v>665</v>
      </c>
      <c r="I42" s="1498"/>
      <c r="J42" s="3201"/>
      <c r="K42" s="3202"/>
      <c r="L42" s="3202"/>
      <c r="M42" s="3203"/>
      <c r="N42" s="1498"/>
      <c r="O42" s="1498"/>
      <c r="P42" s="1498"/>
      <c r="Q42" s="1498"/>
      <c r="R42" s="1498"/>
      <c r="S42" s="1498"/>
      <c r="T42" s="1498"/>
      <c r="U42" s="1498"/>
      <c r="V42" s="1498"/>
      <c r="W42" s="1498"/>
      <c r="X42" s="1498"/>
      <c r="Y42" s="1498"/>
      <c r="Z42" s="1498"/>
      <c r="AA42" s="1498"/>
    </row>
    <row r="43" spans="1:33" x14ac:dyDescent="0.2">
      <c r="A43" s="3180"/>
      <c r="B43" s="1510">
        <f>SUM(B32:B40)</f>
        <v>0</v>
      </c>
      <c r="C43" s="1511">
        <f t="shared" ref="C43:H43" si="18">SUM(AB32:AB40)</f>
        <v>0</v>
      </c>
      <c r="D43" s="1512">
        <f t="shared" si="18"/>
        <v>0</v>
      </c>
      <c r="E43" s="1513">
        <f t="shared" si="18"/>
        <v>0</v>
      </c>
      <c r="F43" s="1512">
        <f t="shared" si="18"/>
        <v>0</v>
      </c>
      <c r="G43" s="1512">
        <f t="shared" si="18"/>
        <v>0</v>
      </c>
      <c r="H43" s="1513">
        <f t="shared" si="18"/>
        <v>0</v>
      </c>
      <c r="I43" s="1498"/>
      <c r="J43" s="2095"/>
      <c r="K43" s="2956" t="s">
        <v>742</v>
      </c>
      <c r="L43" s="2956" t="s">
        <v>743</v>
      </c>
      <c r="M43" s="2957" t="s">
        <v>744</v>
      </c>
      <c r="N43" s="1498"/>
      <c r="O43" s="1498"/>
      <c r="P43" s="1498"/>
      <c r="Q43" s="1498"/>
      <c r="R43" s="1498"/>
      <c r="S43" s="1498"/>
      <c r="T43" s="1498"/>
      <c r="U43" s="1498"/>
      <c r="V43" s="1498"/>
      <c r="W43" s="1498"/>
      <c r="X43" s="1498"/>
      <c r="Y43" s="1498"/>
      <c r="Z43" s="1498"/>
      <c r="AA43" s="1498"/>
    </row>
    <row r="44" spans="1:33" x14ac:dyDescent="0.2">
      <c r="A44" s="1498"/>
      <c r="B44" s="1498"/>
      <c r="C44" s="1498"/>
      <c r="D44" s="1498"/>
      <c r="E44" s="1498"/>
      <c r="F44" s="1498"/>
      <c r="G44" s="1498"/>
      <c r="H44" s="1498"/>
      <c r="I44" s="1498"/>
      <c r="J44" s="2958" t="s">
        <v>2446</v>
      </c>
      <c r="K44" s="2956" t="s">
        <v>2447</v>
      </c>
      <c r="L44" s="2956" t="s">
        <v>2448</v>
      </c>
      <c r="M44" s="2957" t="s">
        <v>2449</v>
      </c>
      <c r="N44" s="1498"/>
      <c r="O44" s="1498"/>
      <c r="P44" s="1498"/>
      <c r="Q44" s="1498"/>
      <c r="R44" s="1498"/>
      <c r="S44" s="1498"/>
      <c r="T44" s="1498"/>
      <c r="U44" s="1498"/>
      <c r="V44" s="1498"/>
      <c r="W44" s="1498"/>
      <c r="X44" s="1498"/>
      <c r="Y44" s="1498"/>
      <c r="Z44" s="1498"/>
      <c r="AA44" s="1498"/>
    </row>
    <row r="45" spans="1:33" ht="12.75" customHeight="1" x14ac:dyDescent="0.2">
      <c r="A45" s="3187" t="s">
        <v>445</v>
      </c>
      <c r="B45" s="1505" t="s">
        <v>682</v>
      </c>
      <c r="C45" s="3181" t="s">
        <v>1348</v>
      </c>
      <c r="D45" s="3182"/>
      <c r="E45" s="3183"/>
      <c r="F45" s="3182" t="s">
        <v>1349</v>
      </c>
      <c r="G45" s="3182"/>
      <c r="H45" s="3183"/>
      <c r="I45" s="3193"/>
      <c r="J45" s="2958" t="s">
        <v>1824</v>
      </c>
      <c r="K45" s="2956" t="s">
        <v>2453</v>
      </c>
      <c r="L45" s="2956" t="s">
        <v>2454</v>
      </c>
      <c r="M45" s="2957" t="s">
        <v>2457</v>
      </c>
      <c r="N45" s="1498"/>
      <c r="O45" s="1498"/>
      <c r="P45" s="1498"/>
      <c r="Q45" s="1498"/>
      <c r="R45" s="1498"/>
      <c r="S45" s="1498"/>
      <c r="T45" s="1498"/>
      <c r="U45" s="1498"/>
      <c r="V45" s="1498"/>
      <c r="W45" s="1498"/>
      <c r="X45" s="1498"/>
      <c r="Y45" s="1498"/>
      <c r="Z45" s="1498"/>
      <c r="AA45" s="1498"/>
    </row>
    <row r="46" spans="1:33" ht="12.75" customHeight="1" x14ac:dyDescent="0.2">
      <c r="A46" s="3188"/>
      <c r="B46" s="1672">
        <f>B27+B43</f>
        <v>90</v>
      </c>
      <c r="C46" s="1506" t="s">
        <v>625</v>
      </c>
      <c r="D46" s="1503" t="s">
        <v>187</v>
      </c>
      <c r="E46" s="1504" t="s">
        <v>665</v>
      </c>
      <c r="F46" s="1503" t="s">
        <v>625</v>
      </c>
      <c r="G46" s="1503" t="s">
        <v>187</v>
      </c>
      <c r="H46" s="1504" t="s">
        <v>665</v>
      </c>
      <c r="I46" s="3193"/>
      <c r="J46" s="2958" t="s">
        <v>442</v>
      </c>
      <c r="K46" s="2956" t="s">
        <v>2456</v>
      </c>
      <c r="L46" s="2956" t="s">
        <v>2454</v>
      </c>
      <c r="M46" s="2957" t="s">
        <v>2455</v>
      </c>
      <c r="N46" s="1498"/>
      <c r="O46" s="1498"/>
      <c r="P46" s="1498"/>
      <c r="Q46" s="1498"/>
      <c r="R46" s="1498"/>
      <c r="S46" s="1498"/>
      <c r="T46" s="1498"/>
      <c r="U46" s="1498"/>
      <c r="V46" s="1498"/>
      <c r="W46" s="1498"/>
      <c r="X46" s="1498"/>
      <c r="Y46" s="1498"/>
      <c r="Z46" s="1498"/>
      <c r="AA46" s="1498"/>
    </row>
    <row r="47" spans="1:33" x14ac:dyDescent="0.2">
      <c r="A47" s="3189" t="s">
        <v>1714</v>
      </c>
      <c r="B47" s="3190"/>
      <c r="C47" s="1669">
        <f t="shared" ref="C47:H47" si="19">C27+C43</f>
        <v>1039</v>
      </c>
      <c r="D47" s="1670">
        <f t="shared" si="19"/>
        <v>2209</v>
      </c>
      <c r="E47" s="1671">
        <f t="shared" si="19"/>
        <v>7233</v>
      </c>
      <c r="F47" s="1670">
        <f t="shared" si="19"/>
        <v>5440</v>
      </c>
      <c r="G47" s="1670">
        <f t="shared" si="19"/>
        <v>3545</v>
      </c>
      <c r="H47" s="1671">
        <f t="shared" si="19"/>
        <v>8955</v>
      </c>
      <c r="I47" s="3193"/>
      <c r="J47" s="2960" t="s">
        <v>2450</v>
      </c>
      <c r="K47" s="2947" t="s">
        <v>2372</v>
      </c>
      <c r="L47" s="2947" t="s">
        <v>743</v>
      </c>
      <c r="M47" s="2948" t="s">
        <v>2452</v>
      </c>
      <c r="N47" s="1498"/>
      <c r="O47" s="1498"/>
      <c r="P47" s="1498"/>
      <c r="Q47" s="1498"/>
      <c r="R47" s="1498"/>
      <c r="S47" s="1498"/>
      <c r="T47" s="1498"/>
      <c r="U47" s="1498"/>
      <c r="V47" s="1498"/>
      <c r="W47" s="1498"/>
      <c r="X47" s="1498"/>
      <c r="Y47" s="1498"/>
      <c r="Z47" s="1498"/>
      <c r="AA47" s="1498"/>
    </row>
    <row r="48" spans="1:33" x14ac:dyDescent="0.2">
      <c r="A48" s="3191" t="s">
        <v>1350</v>
      </c>
      <c r="B48" s="3192"/>
      <c r="C48" s="1666">
        <f t="shared" ref="C48:H48" si="20">C47/$B46</f>
        <v>11.544444444444444</v>
      </c>
      <c r="D48" s="1667">
        <f t="shared" si="20"/>
        <v>24.544444444444444</v>
      </c>
      <c r="E48" s="1668">
        <f t="shared" si="20"/>
        <v>80.36666666666666</v>
      </c>
      <c r="F48" s="1667">
        <f t="shared" si="20"/>
        <v>60.444444444444443</v>
      </c>
      <c r="G48" s="1667">
        <f t="shared" si="20"/>
        <v>39.388888888888886</v>
      </c>
      <c r="H48" s="1668">
        <f t="shared" si="20"/>
        <v>99.5</v>
      </c>
      <c r="I48" s="3193"/>
      <c r="J48" s="2959" t="s">
        <v>2451</v>
      </c>
      <c r="K48" s="1503" t="s">
        <v>2458</v>
      </c>
      <c r="L48" s="1503" t="s">
        <v>2459</v>
      </c>
      <c r="M48" s="1504" t="s">
        <v>2460</v>
      </c>
      <c r="N48" s="1498"/>
      <c r="O48" s="1498"/>
      <c r="P48" s="1498"/>
      <c r="Q48" s="1498"/>
      <c r="R48" s="1498"/>
      <c r="S48" s="1498"/>
      <c r="T48" s="1498"/>
      <c r="U48" s="1498"/>
      <c r="V48" s="1498"/>
      <c r="W48" s="1498"/>
      <c r="X48" s="1498"/>
      <c r="Y48" s="1498"/>
      <c r="Z48" s="1498"/>
      <c r="AA48" s="1498"/>
    </row>
    <row r="49" spans="1:27" x14ac:dyDescent="0.2">
      <c r="A49" s="3171" t="s">
        <v>1419</v>
      </c>
      <c r="B49" s="3172"/>
      <c r="C49" s="1669">
        <f>100*C47/F47</f>
        <v>19.099264705882351</v>
      </c>
      <c r="D49" s="1670">
        <f>100*D47/G47</f>
        <v>62.313117066290552</v>
      </c>
      <c r="E49" s="1671">
        <f>100*E47/H47</f>
        <v>80.77051926298158</v>
      </c>
      <c r="F49" s="1498"/>
      <c r="G49" s="1498"/>
      <c r="H49" s="1498"/>
      <c r="I49" s="1498"/>
      <c r="J49" s="1498"/>
      <c r="K49" s="1498"/>
      <c r="L49" s="1498"/>
      <c r="M49" s="1498"/>
      <c r="N49" s="1498"/>
      <c r="O49" s="1498"/>
      <c r="P49" s="1498"/>
      <c r="Q49" s="1498"/>
      <c r="R49" s="1498"/>
      <c r="S49" s="1498"/>
      <c r="T49" s="1498"/>
      <c r="U49" s="1498"/>
      <c r="V49" s="1498"/>
      <c r="W49" s="1498"/>
      <c r="X49" s="1498"/>
      <c r="Y49" s="1498"/>
      <c r="Z49" s="1498"/>
      <c r="AA49" s="1498"/>
    </row>
    <row r="50" spans="1:27" ht="25.5" customHeight="1" x14ac:dyDescent="0.2">
      <c r="A50" s="3169" t="s">
        <v>1420</v>
      </c>
      <c r="B50" s="3170"/>
      <c r="C50" s="1548">
        <f>100*C47/(C47+F47)</f>
        <v>16.036425374286154</v>
      </c>
      <c r="D50" s="1549">
        <f>100*D47/(D47+G47)</f>
        <v>38.390684741049704</v>
      </c>
      <c r="E50" s="1550">
        <f>100*E47/(E47+H47)</f>
        <v>44.681245366938469</v>
      </c>
      <c r="F50" s="1498"/>
      <c r="G50" s="1498"/>
      <c r="H50" s="1498"/>
      <c r="I50" s="1498"/>
      <c r="J50" s="1498"/>
      <c r="K50" s="1498"/>
      <c r="L50" s="1498"/>
      <c r="M50" s="1498"/>
      <c r="N50" s="1498"/>
      <c r="O50" s="1498"/>
      <c r="P50" s="1498"/>
      <c r="Q50" s="1498"/>
      <c r="R50" s="1498"/>
      <c r="S50" s="1498"/>
      <c r="T50" s="1498"/>
      <c r="U50" s="1498"/>
      <c r="V50" s="1498"/>
      <c r="W50" s="1498"/>
      <c r="X50" s="1498"/>
      <c r="Y50" s="1498"/>
      <c r="Z50" s="1498"/>
      <c r="AA50" s="1498"/>
    </row>
    <row r="51" spans="1:27" ht="12.75" customHeight="1" x14ac:dyDescent="0.2">
      <c r="A51" s="1498"/>
      <c r="B51" s="1498"/>
      <c r="C51" s="1498"/>
      <c r="D51" s="1498"/>
      <c r="E51" s="1498"/>
      <c r="F51" s="1498"/>
      <c r="G51" s="3194" t="s">
        <v>2200</v>
      </c>
      <c r="H51" s="3194"/>
      <c r="I51" s="3194"/>
      <c r="J51" s="3194"/>
      <c r="K51" s="3194"/>
      <c r="L51" s="3194"/>
      <c r="M51" s="3194"/>
      <c r="N51" s="1498"/>
      <c r="O51" s="1498"/>
      <c r="P51" s="1498"/>
      <c r="Q51" s="1498"/>
      <c r="R51" s="1498"/>
      <c r="S51" s="1498"/>
      <c r="T51" s="1498"/>
      <c r="U51" s="1498"/>
      <c r="V51" s="1498"/>
      <c r="W51" s="1498"/>
      <c r="X51" s="1498"/>
      <c r="Y51" s="1498"/>
      <c r="Z51" s="1498"/>
      <c r="AA51" s="1498"/>
    </row>
    <row r="52" spans="1:27" x14ac:dyDescent="0.2">
      <c r="A52" s="1500" t="s">
        <v>2311</v>
      </c>
      <c r="B52" s="1498"/>
      <c r="C52" s="1498"/>
      <c r="D52" s="1498"/>
      <c r="E52" s="1498"/>
      <c r="F52" s="1498"/>
      <c r="G52" s="3194"/>
      <c r="H52" s="3194"/>
      <c r="I52" s="3194"/>
      <c r="J52" s="3194"/>
      <c r="K52" s="3194"/>
      <c r="L52" s="3194"/>
      <c r="M52" s="3194"/>
      <c r="N52" s="1498"/>
      <c r="O52" s="1498"/>
      <c r="P52" s="1498"/>
      <c r="Q52" s="1498"/>
      <c r="R52" s="1498"/>
      <c r="S52" s="1498"/>
      <c r="T52" s="1498"/>
      <c r="U52" s="1498"/>
      <c r="V52" s="1498"/>
      <c r="W52" s="1498"/>
      <c r="X52" s="1498"/>
      <c r="Y52" s="1498"/>
      <c r="Z52" s="1498"/>
      <c r="AA52" s="1498"/>
    </row>
    <row r="53" spans="1:27" ht="12.75" customHeight="1" x14ac:dyDescent="0.2">
      <c r="A53" s="1498"/>
      <c r="B53" s="1498"/>
      <c r="C53" s="1791" t="s">
        <v>625</v>
      </c>
      <c r="D53" s="1792" t="s">
        <v>187</v>
      </c>
      <c r="E53" s="1793" t="s">
        <v>665</v>
      </c>
      <c r="F53" s="1498"/>
      <c r="G53" s="3194"/>
      <c r="H53" s="3194"/>
      <c r="I53" s="3194"/>
      <c r="J53" s="3194"/>
      <c r="K53" s="3194"/>
      <c r="L53" s="3194"/>
      <c r="M53" s="3194"/>
      <c r="N53" s="1498"/>
      <c r="O53" s="1498"/>
      <c r="P53" s="1498"/>
      <c r="Q53" s="1498"/>
      <c r="R53" s="1498"/>
      <c r="S53" s="1498"/>
      <c r="T53" s="1498"/>
      <c r="U53" s="1498"/>
      <c r="V53" s="1498"/>
      <c r="W53" s="1498"/>
      <c r="X53" s="1498"/>
      <c r="Y53" s="1498"/>
      <c r="Z53" s="1498"/>
      <c r="AA53" s="1498"/>
    </row>
    <row r="54" spans="1:27" ht="12.75" customHeight="1" x14ac:dyDescent="0.2">
      <c r="A54" s="3175" t="s">
        <v>1766</v>
      </c>
      <c r="B54" s="3176"/>
      <c r="C54" s="1787">
        <f>Resultats!AC117</f>
        <v>9928.0863905325441</v>
      </c>
      <c r="D54" s="1788">
        <f>Resultats!AD117</f>
        <v>3947.2332347140045</v>
      </c>
      <c r="E54" s="1789">
        <f>C54*NPK_Organiques!N21/NPK_Organiques!H21</f>
        <v>13913.08201183432</v>
      </c>
      <c r="F54" s="1498"/>
      <c r="G54" s="3194"/>
      <c r="H54" s="3194"/>
      <c r="I54" s="3194"/>
      <c r="J54" s="3194"/>
      <c r="K54" s="3194"/>
      <c r="L54" s="3194"/>
      <c r="M54" s="3194"/>
      <c r="N54" s="1498"/>
      <c r="O54" s="1498"/>
      <c r="P54" s="1498"/>
      <c r="Q54" s="1498"/>
      <c r="R54" s="1498"/>
      <c r="S54" s="1498"/>
      <c r="T54" s="1498"/>
      <c r="U54" s="1498"/>
      <c r="V54" s="1498"/>
      <c r="W54" s="1498"/>
      <c r="X54" s="1498"/>
      <c r="Y54" s="1498"/>
      <c r="Z54" s="1498"/>
      <c r="AA54" s="1498"/>
    </row>
    <row r="55" spans="1:27" ht="25.5" customHeight="1" x14ac:dyDescent="0.2">
      <c r="A55" s="3173" t="s">
        <v>1767</v>
      </c>
      <c r="B55" s="3177"/>
      <c r="C55" s="1787">
        <f>C47+0.25*NPK_Organiques!G19</f>
        <v>2375.3853600548837</v>
      </c>
      <c r="D55" s="1788">
        <f>D47+0.8*NPK_Organiques!J19</f>
        <v>3607.1860573204949</v>
      </c>
      <c r="E55" s="1789">
        <f>E47+NPK_Organiques!M19</f>
        <v>15404.014220067933</v>
      </c>
      <c r="F55" s="3195" t="s">
        <v>2368</v>
      </c>
      <c r="G55" s="3195"/>
      <c r="H55" s="3195"/>
      <c r="I55" s="3195"/>
      <c r="J55" s="3195"/>
      <c r="K55" s="3195"/>
      <c r="L55" s="3195"/>
      <c r="M55" s="3195"/>
      <c r="N55" s="1498"/>
      <c r="O55" s="1498"/>
      <c r="P55" s="1498"/>
      <c r="Q55" s="1498"/>
      <c r="R55" s="1498"/>
      <c r="S55" s="1498"/>
      <c r="T55" s="1498"/>
      <c r="U55" s="1498"/>
      <c r="V55" s="1498"/>
      <c r="W55" s="1498"/>
      <c r="X55" s="1498"/>
      <c r="Y55" s="1498"/>
      <c r="Z55" s="1498"/>
      <c r="AA55" s="1498"/>
    </row>
    <row r="56" spans="1:27" ht="25.5" customHeight="1" x14ac:dyDescent="0.2">
      <c r="A56" s="3173" t="s">
        <v>1770</v>
      </c>
      <c r="B56" s="3174"/>
      <c r="C56" s="1929">
        <f>C55/C54</f>
        <v>0.23925913480366759</v>
      </c>
      <c r="D56" s="1930">
        <f>D55/D54</f>
        <v>0.91385176472396934</v>
      </c>
      <c r="E56" s="1931">
        <f>E55/E54</f>
        <v>1.1071604556751296</v>
      </c>
      <c r="F56" s="3195"/>
      <c r="G56" s="3195"/>
      <c r="H56" s="3195"/>
      <c r="I56" s="3195"/>
      <c r="J56" s="3195"/>
      <c r="K56" s="3195"/>
      <c r="L56" s="3195"/>
      <c r="M56" s="3195"/>
      <c r="N56" s="1498"/>
      <c r="O56" s="1498"/>
      <c r="P56" s="1498"/>
      <c r="Q56" s="1498"/>
      <c r="R56" s="1498"/>
      <c r="S56" s="1498"/>
      <c r="T56" s="1498"/>
      <c r="U56" s="1498"/>
      <c r="V56" s="1498"/>
      <c r="W56" s="1498"/>
      <c r="X56" s="1498"/>
      <c r="Y56" s="1498"/>
      <c r="Z56" s="1498"/>
      <c r="AA56" s="1498"/>
    </row>
    <row r="57" spans="1:27" ht="12.75" customHeight="1" x14ac:dyDescent="0.2">
      <c r="A57" s="3173" t="s">
        <v>1769</v>
      </c>
      <c r="B57" s="3177"/>
      <c r="C57" s="1787">
        <f>C54-C55</f>
        <v>7552.7010304776604</v>
      </c>
      <c r="D57" s="1788">
        <f>D54-D55</f>
        <v>340.04717739350963</v>
      </c>
      <c r="E57" s="1789">
        <f>E54-E55</f>
        <v>-1490.932208233613</v>
      </c>
      <c r="F57" s="3195"/>
      <c r="G57" s="3195"/>
      <c r="H57" s="3195"/>
      <c r="I57" s="3195"/>
      <c r="J57" s="3195"/>
      <c r="K57" s="3195"/>
      <c r="L57" s="3195"/>
      <c r="M57" s="3195"/>
      <c r="N57" s="1498"/>
      <c r="O57" s="1498"/>
      <c r="P57" s="1498"/>
      <c r="Q57" s="1498"/>
      <c r="R57" s="1498"/>
      <c r="S57" s="1498"/>
      <c r="T57" s="1498"/>
      <c r="U57" s="1498"/>
      <c r="V57" s="1498"/>
      <c r="W57" s="1498"/>
      <c r="X57" s="1498"/>
      <c r="Y57" s="1498"/>
      <c r="Z57" s="1498"/>
      <c r="AA57" s="1498"/>
    </row>
    <row r="58" spans="1:27" ht="25.5" customHeight="1" x14ac:dyDescent="0.2">
      <c r="A58" s="3196" t="s">
        <v>1768</v>
      </c>
      <c r="B58" s="3197"/>
      <c r="C58" s="1548">
        <f>C57/$B$46</f>
        <v>83.918900338640668</v>
      </c>
      <c r="D58" s="1549">
        <f>D57/$B$46</f>
        <v>3.7783019710389958</v>
      </c>
      <c r="E58" s="1550">
        <f>E57/$B$46</f>
        <v>-16.565913424817921</v>
      </c>
      <c r="F58" s="3195"/>
      <c r="G58" s="3195"/>
      <c r="H58" s="3195"/>
      <c r="I58" s="3195"/>
      <c r="J58" s="3195"/>
      <c r="K58" s="3195"/>
      <c r="L58" s="3195"/>
      <c r="M58" s="3195"/>
      <c r="N58" s="1498"/>
      <c r="O58" s="1498"/>
      <c r="P58" s="1498"/>
      <c r="Q58" s="1498"/>
      <c r="R58" s="1498"/>
      <c r="S58" s="1498"/>
      <c r="T58" s="1498"/>
      <c r="U58" s="1498"/>
      <c r="V58" s="1498"/>
      <c r="W58" s="1498"/>
      <c r="X58" s="1498"/>
      <c r="Y58" s="1498"/>
      <c r="Z58" s="1498"/>
      <c r="AA58" s="1498"/>
    </row>
    <row r="59" spans="1:27" x14ac:dyDescent="0.2">
      <c r="A59" s="1498"/>
      <c r="B59" s="1498"/>
      <c r="C59" s="1937" t="str">
        <f>IF(C58&lt;80,"","de préférence N &lt; 80")</f>
        <v>de préférence N &lt; 80</v>
      </c>
      <c r="D59" s="1498"/>
      <c r="E59" s="1939" t="str">
        <f>IF(E58&lt;100,"","de préférence K2O &lt; 100")</f>
        <v/>
      </c>
      <c r="F59" s="3195"/>
      <c r="G59" s="3195"/>
      <c r="H59" s="3195"/>
      <c r="I59" s="3195"/>
      <c r="J59" s="3195"/>
      <c r="K59" s="3195"/>
      <c r="L59" s="3195"/>
      <c r="M59" s="3195"/>
      <c r="N59" s="1498"/>
      <c r="O59" s="1498"/>
      <c r="P59" s="1498"/>
      <c r="Q59" s="1498"/>
      <c r="R59" s="1498"/>
      <c r="S59" s="1498"/>
      <c r="T59" s="1498"/>
      <c r="U59" s="1498"/>
      <c r="V59" s="1498"/>
      <c r="W59" s="1498"/>
      <c r="X59" s="1498"/>
      <c r="Y59" s="1498"/>
      <c r="Z59" s="1498"/>
      <c r="AA59" s="1498"/>
    </row>
    <row r="60" spans="1:27" x14ac:dyDescent="0.2">
      <c r="A60" s="1498"/>
      <c r="B60" s="1498"/>
      <c r="C60" s="1498"/>
      <c r="D60" s="1938" t="str">
        <f>IF(D58&lt;30,"","de préférence P2O5 &lt; 30")</f>
        <v/>
      </c>
      <c r="E60" s="1498"/>
      <c r="F60" s="3195"/>
      <c r="G60" s="3195"/>
      <c r="H60" s="3195"/>
      <c r="I60" s="3195"/>
      <c r="J60" s="3195"/>
      <c r="K60" s="3195"/>
      <c r="L60" s="3195"/>
      <c r="M60" s="3195"/>
      <c r="N60" s="1498"/>
      <c r="O60" s="1498"/>
      <c r="P60" s="1498"/>
      <c r="Q60" s="1498"/>
      <c r="R60" s="1498"/>
      <c r="S60" s="1498"/>
      <c r="T60" s="1498"/>
      <c r="U60" s="1498"/>
      <c r="V60" s="1498"/>
      <c r="W60" s="1498"/>
      <c r="X60" s="1498"/>
      <c r="Y60" s="1498"/>
      <c r="Z60" s="1498"/>
      <c r="AA60" s="1498"/>
    </row>
    <row r="61" spans="1:27" x14ac:dyDescent="0.2">
      <c r="A61" s="1498"/>
      <c r="B61" s="1498"/>
      <c r="C61" s="1498"/>
      <c r="D61" s="1498"/>
      <c r="E61" s="1498"/>
      <c r="F61" s="1498"/>
      <c r="G61" s="1498"/>
      <c r="H61" s="1498"/>
      <c r="I61" s="1498"/>
      <c r="J61" s="1498"/>
      <c r="K61" s="1498"/>
      <c r="L61" s="1498"/>
      <c r="M61" s="1498"/>
      <c r="N61" s="1498"/>
      <c r="O61" s="1498"/>
      <c r="P61" s="1498"/>
      <c r="Q61" s="1498"/>
      <c r="R61" s="1498"/>
      <c r="S61" s="1498"/>
      <c r="T61" s="1498"/>
      <c r="U61" s="1498"/>
      <c r="V61" s="1498"/>
      <c r="W61" s="1498"/>
      <c r="X61" s="1498"/>
      <c r="Y61" s="1498"/>
      <c r="Z61" s="1498"/>
      <c r="AA61" s="1498"/>
    </row>
    <row r="113" spans="5:5" x14ac:dyDescent="0.2">
      <c r="E113" s="1275">
        <f>(Ferti_SAU!D25+Ferti_SAU!G25)</f>
        <v>4129</v>
      </c>
    </row>
  </sheetData>
  <sheetProtection algorithmName="SHA-512" hashValue="BgEjRmZDuJ0FXiS3WHpvpLFCVEfKkeK8wae5/esM5E8v0Vi0xnuALssK9qZd7Ut0G+5WLWIphWtuw8Ol9AAg8A==" saltValue="qqBR6ntcRxYT3nrnteQ5yA==" spinCount="100000" sheet="1" objects="1" scenarios="1"/>
  <mergeCells count="62">
    <mergeCell ref="J4:M7"/>
    <mergeCell ref="J10:M10"/>
    <mergeCell ref="J12:M13"/>
    <mergeCell ref="J17:M17"/>
    <mergeCell ref="J19:M19"/>
    <mergeCell ref="J8:M8"/>
    <mergeCell ref="I34:I35"/>
    <mergeCell ref="I26:I27"/>
    <mergeCell ref="J21:M22"/>
    <mergeCell ref="J32:M32"/>
    <mergeCell ref="J34:M34"/>
    <mergeCell ref="J28:N29"/>
    <mergeCell ref="I28:I29"/>
    <mergeCell ref="I30:I31"/>
    <mergeCell ref="J36:M37"/>
    <mergeCell ref="AE6:AG6"/>
    <mergeCell ref="AB15:AD15"/>
    <mergeCell ref="AE15:AG15"/>
    <mergeCell ref="C6:E6"/>
    <mergeCell ref="F6:H6"/>
    <mergeCell ref="C15:E15"/>
    <mergeCell ref="F15:H15"/>
    <mergeCell ref="AB6:AD6"/>
    <mergeCell ref="I6:I7"/>
    <mergeCell ref="J15:J16"/>
    <mergeCell ref="I8:I9"/>
    <mergeCell ref="I10:I11"/>
    <mergeCell ref="I12:I13"/>
    <mergeCell ref="I14:I15"/>
    <mergeCell ref="I16:I17"/>
    <mergeCell ref="A57:B57"/>
    <mergeCell ref="AE30:AG30"/>
    <mergeCell ref="A45:A46"/>
    <mergeCell ref="A47:B47"/>
    <mergeCell ref="A48:B48"/>
    <mergeCell ref="C45:E45"/>
    <mergeCell ref="F45:H45"/>
    <mergeCell ref="I45:I48"/>
    <mergeCell ref="C30:E30"/>
    <mergeCell ref="F30:H30"/>
    <mergeCell ref="AB30:AD30"/>
    <mergeCell ref="I36:I37"/>
    <mergeCell ref="G51:M54"/>
    <mergeCell ref="F55:M60"/>
    <mergeCell ref="A58:B58"/>
    <mergeCell ref="J41:M42"/>
    <mergeCell ref="A2:I2"/>
    <mergeCell ref="A50:B50"/>
    <mergeCell ref="A49:B49"/>
    <mergeCell ref="A56:B56"/>
    <mergeCell ref="A54:B54"/>
    <mergeCell ref="A55:B55"/>
    <mergeCell ref="A41:A43"/>
    <mergeCell ref="C41:E41"/>
    <mergeCell ref="F41:H41"/>
    <mergeCell ref="C23:E23"/>
    <mergeCell ref="F23:H23"/>
    <mergeCell ref="I18:I19"/>
    <mergeCell ref="I20:I21"/>
    <mergeCell ref="I22:I23"/>
    <mergeCell ref="I24:I25"/>
    <mergeCell ref="I32:I33"/>
  </mergeCells>
  <conditionalFormatting sqref="C58">
    <cfRule type="cellIs" dxfId="82" priority="3" operator="greaterThan">
      <formula>80</formula>
    </cfRule>
  </conditionalFormatting>
  <conditionalFormatting sqref="D58">
    <cfRule type="cellIs" dxfId="81" priority="2" operator="greaterThan">
      <formula>30</formula>
    </cfRule>
  </conditionalFormatting>
  <conditionalFormatting sqref="E58">
    <cfRule type="cellIs" dxfId="80" priority="1" operator="greaterThan">
      <formula>100</formula>
    </cfRule>
  </conditionalFormatting>
  <hyperlinks>
    <hyperlink ref="J10" location="Ferti_Prairies!A1" display="Puis allez sur Ferti_Prairies"/>
    <hyperlink ref="J19" location="Ferti_Cultures!A1" display="Puis allez sur Ferti_Cultures"/>
    <hyperlink ref="J34" location="Ferti_Cultures!A1" display="Puis allez sur Ferti_Cultures"/>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7589" r:id="rId4" name="Button 5">
              <controlPr defaultSize="0" print="0" autoFill="0" autoPict="0" macro="[0]!Retour_Presentation">
                <anchor moveWithCells="1" sizeWithCells="1">
                  <from>
                    <xdr:col>9</xdr:col>
                    <xdr:colOff>942975</xdr:colOff>
                    <xdr:row>0</xdr:row>
                    <xdr:rowOff>0</xdr:rowOff>
                  </from>
                  <to>
                    <xdr:col>12</xdr:col>
                    <xdr:colOff>457200</xdr:colOff>
                    <xdr:row>2</xdr:row>
                    <xdr:rowOff>19050</xdr:rowOff>
                  </to>
                </anchor>
              </controlPr>
            </control>
          </mc:Choice>
        </mc:AlternateContent>
        <mc:AlternateContent xmlns:mc="http://schemas.openxmlformats.org/markup-compatibility/2006">
          <mc:Choice Requires="x14">
            <control shapeId="67590" r:id="rId5" name="Button 6">
              <controlPr defaultSize="0" print="0" autoFill="0" autoPict="0" macro="[0]!Efface_Ferti_SAU">
                <anchor moveWithCells="1" sizeWithCells="1">
                  <from>
                    <xdr:col>1</xdr:col>
                    <xdr:colOff>228600</xdr:colOff>
                    <xdr:row>2</xdr:row>
                    <xdr:rowOff>38100</xdr:rowOff>
                  </from>
                  <to>
                    <xdr:col>8</xdr:col>
                    <xdr:colOff>0</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3">
    <tabColor theme="4" tint="0.39997558519241921"/>
    <pageSetUpPr fitToPage="1"/>
  </sheetPr>
  <dimension ref="A1:BD187"/>
  <sheetViews>
    <sheetView workbookViewId="0">
      <selection activeCell="A45" sqref="A45"/>
    </sheetView>
  </sheetViews>
  <sheetFormatPr baseColWidth="10" defaultRowHeight="12.75" x14ac:dyDescent="0.2"/>
  <cols>
    <col min="1" max="1" width="0.85546875" customWidth="1"/>
    <col min="2" max="2" width="2.28515625" customWidth="1"/>
    <col min="3" max="3" width="25.42578125" customWidth="1"/>
    <col min="4" max="4" width="11.85546875" customWidth="1"/>
    <col min="5" max="7" width="12.42578125" customWidth="1"/>
    <col min="8" max="8" width="4.140625" customWidth="1"/>
    <col min="9" max="11" width="7" customWidth="1"/>
    <col min="12" max="12" width="3.28515625" customWidth="1"/>
    <col min="13" max="13" width="2.28515625" customWidth="1"/>
    <col min="14" max="14" width="25.42578125" customWidth="1"/>
    <col min="15" max="15" width="11.85546875" customWidth="1"/>
    <col min="16" max="18" width="12.42578125" customWidth="1"/>
    <col min="19" max="19" width="3.28515625" customWidth="1"/>
    <col min="20" max="22" width="7" customWidth="1"/>
    <col min="23" max="24" width="8.28515625" customWidth="1"/>
    <col min="25" max="26" width="64.42578125" customWidth="1"/>
    <col min="27" max="27" width="24.28515625" customWidth="1"/>
    <col min="28" max="28" width="5.140625" customWidth="1"/>
    <col min="29" max="30" width="6.85546875" customWidth="1"/>
    <col min="31" max="31" width="11.7109375" customWidth="1"/>
    <col min="32" max="32" width="29.7109375" customWidth="1"/>
    <col min="33" max="34" width="6.85546875" customWidth="1"/>
    <col min="35" max="35" width="20.42578125" customWidth="1"/>
    <col min="36" max="41" width="6.28515625" customWidth="1"/>
    <col min="42" max="43" width="7.5703125" customWidth="1"/>
    <col min="44" max="44" width="6" customWidth="1"/>
    <col min="45" max="45" width="9.85546875" customWidth="1"/>
    <col min="46" max="50" width="6" customWidth="1"/>
    <col min="51" max="53" width="6.7109375" customWidth="1"/>
    <col min="54" max="54" width="3" customWidth="1"/>
    <col min="55" max="55" width="5.7109375" customWidth="1"/>
    <col min="56" max="56" width="4.7109375" customWidth="1"/>
    <col min="57" max="57" width="5.7109375" customWidth="1"/>
    <col min="58" max="58" width="43.85546875" customWidth="1"/>
    <col min="59" max="59" width="3" customWidth="1"/>
    <col min="60" max="60" width="5.7109375" customWidth="1"/>
    <col min="61" max="61" width="4.7109375" customWidth="1"/>
    <col min="62" max="62" width="5.7109375" customWidth="1"/>
    <col min="63" max="63" width="4.7109375" customWidth="1"/>
    <col min="64" max="64" width="3.5703125" customWidth="1"/>
    <col min="65" max="65" width="3.85546875" customWidth="1"/>
    <col min="66" max="78" width="11.42578125" customWidth="1"/>
  </cols>
  <sheetData>
    <row r="1" spans="1:38" ht="20.100000000000001" customHeight="1" x14ac:dyDescent="0.25">
      <c r="A1" s="1164"/>
      <c r="B1" s="1164"/>
      <c r="C1" s="1218" t="s">
        <v>493</v>
      </c>
      <c r="D1" s="3225" t="s">
        <v>452</v>
      </c>
      <c r="E1" s="3226"/>
      <c r="F1" s="2052" t="s">
        <v>2080</v>
      </c>
      <c r="G1" s="3234" t="s">
        <v>2022</v>
      </c>
      <c r="H1" s="3234"/>
      <c r="I1" s="3234"/>
      <c r="J1" s="3234"/>
      <c r="K1" s="3234"/>
      <c r="L1" s="3234"/>
      <c r="M1" s="3234"/>
      <c r="N1" s="3234"/>
      <c r="O1" s="3234"/>
      <c r="P1" s="3234"/>
      <c r="Q1" s="1164"/>
      <c r="R1" s="1164"/>
      <c r="S1" s="1164"/>
      <c r="T1" s="1164"/>
      <c r="U1" s="1164"/>
      <c r="V1" s="1164"/>
      <c r="W1" s="1164"/>
      <c r="X1" s="1164"/>
      <c r="Y1" s="1498"/>
      <c r="Z1" s="1498"/>
    </row>
    <row r="2" spans="1:38" ht="5.0999999999999996" customHeight="1" x14ac:dyDescent="0.2">
      <c r="A2" s="1164"/>
      <c r="B2" s="1164"/>
      <c r="C2" s="1164"/>
      <c r="D2" s="1164"/>
      <c r="E2" s="1164"/>
      <c r="F2" s="1164"/>
      <c r="G2" s="1164"/>
      <c r="H2" s="1164"/>
      <c r="I2" s="1164"/>
      <c r="J2" s="1164"/>
      <c r="K2" s="1164"/>
      <c r="L2" s="1164"/>
      <c r="M2" s="1164"/>
      <c r="N2" s="1164"/>
      <c r="O2" s="1164"/>
      <c r="P2" s="1164"/>
      <c r="Q2" s="1164"/>
      <c r="R2" s="1164"/>
      <c r="S2" s="1164"/>
      <c r="T2" s="1164"/>
      <c r="U2" s="1164"/>
      <c r="V2" s="1164"/>
      <c r="W2" s="1164"/>
      <c r="X2" s="1164"/>
      <c r="Y2" s="1498"/>
      <c r="Z2" s="1498"/>
    </row>
    <row r="3" spans="1:38" ht="20.100000000000001" customHeight="1" thickBot="1" x14ac:dyDescent="0.25">
      <c r="A3" s="1164"/>
      <c r="B3" s="3230" t="str">
        <f>"Fertilisation des prairies réservées aux "&amp;D1</f>
        <v>Fertilisation des prairies réservées aux Vaches laitières</v>
      </c>
      <c r="C3" s="3230"/>
      <c r="D3" s="3230"/>
      <c r="E3" s="3230"/>
      <c r="F3" s="3230"/>
      <c r="G3" s="3230"/>
      <c r="H3" s="3230"/>
      <c r="I3" s="3230"/>
      <c r="J3" s="3230"/>
      <c r="K3" s="3230"/>
      <c r="L3" s="3230"/>
      <c r="M3" s="3230"/>
      <c r="N3" s="3230"/>
      <c r="O3" s="3230"/>
      <c r="P3" s="3230"/>
      <c r="Q3" s="3230"/>
      <c r="R3" s="3230"/>
      <c r="S3" s="3230"/>
      <c r="T3" s="3230"/>
      <c r="U3" s="3230"/>
      <c r="V3" s="3230"/>
      <c r="W3" s="1164"/>
      <c r="X3" s="1164"/>
      <c r="Y3" s="1498"/>
      <c r="Z3" s="1498"/>
      <c r="AF3" s="1737" t="s">
        <v>452</v>
      </c>
    </row>
    <row r="4" spans="1:38" ht="24.95" customHeight="1" thickTop="1" x14ac:dyDescent="0.2">
      <c r="A4" s="1164"/>
      <c r="B4" s="1164"/>
      <c r="C4" s="1164"/>
      <c r="D4" s="1164"/>
      <c r="E4" s="1164"/>
      <c r="F4" s="1164"/>
      <c r="G4" s="1164"/>
      <c r="H4" s="1164"/>
      <c r="I4" s="1164"/>
      <c r="J4" s="1164"/>
      <c r="K4" s="1164"/>
      <c r="L4" s="1164"/>
      <c r="M4" s="1164"/>
      <c r="N4" s="1164"/>
      <c r="O4" s="1164"/>
      <c r="P4" s="1164"/>
      <c r="Q4" s="1164"/>
      <c r="R4" s="1164"/>
      <c r="S4" s="1164"/>
      <c r="T4" s="1164"/>
      <c r="U4" s="1164"/>
      <c r="V4" s="1164"/>
      <c r="W4" s="1164"/>
      <c r="X4" s="1164"/>
      <c r="Y4" s="1498"/>
      <c r="Z4" s="1498"/>
      <c r="AF4" s="1738" t="s">
        <v>379</v>
      </c>
    </row>
    <row r="5" spans="1:38" ht="18" x14ac:dyDescent="0.2">
      <c r="A5" s="1164"/>
      <c r="B5" s="3227" t="s">
        <v>2081</v>
      </c>
      <c r="C5" s="3227"/>
      <c r="D5" s="3227"/>
      <c r="E5" s="3227"/>
      <c r="F5" s="3227"/>
      <c r="G5" s="3227"/>
      <c r="H5" s="3227"/>
      <c r="I5" s="3227"/>
      <c r="J5" s="3227"/>
      <c r="K5" s="3227"/>
      <c r="L5" s="1164"/>
      <c r="M5" s="3227" t="s">
        <v>873</v>
      </c>
      <c r="N5" s="3227"/>
      <c r="O5" s="3227"/>
      <c r="P5" s="3227"/>
      <c r="Q5" s="3227"/>
      <c r="R5" s="3227"/>
      <c r="S5" s="3227"/>
      <c r="T5" s="3227"/>
      <c r="U5" s="3227"/>
      <c r="V5" s="3227"/>
      <c r="W5" s="1164"/>
      <c r="X5" s="1164"/>
      <c r="Y5" s="1498"/>
      <c r="Z5" s="1498"/>
      <c r="AF5" s="1215" t="s">
        <v>599</v>
      </c>
    </row>
    <row r="6" spans="1:38" ht="18" x14ac:dyDescent="0.2">
      <c r="A6" s="1164"/>
      <c r="B6" s="1166"/>
      <c r="C6" s="1164"/>
      <c r="D6" s="1164"/>
      <c r="E6" s="1164"/>
      <c r="F6" s="1164"/>
      <c r="G6" s="1164"/>
      <c r="H6" s="1164"/>
      <c r="I6" s="1164"/>
      <c r="J6" s="1164"/>
      <c r="K6" s="1164"/>
      <c r="L6" s="1164"/>
      <c r="M6" s="3233" t="s">
        <v>762</v>
      </c>
      <c r="N6" s="3233"/>
      <c r="O6" s="3233"/>
      <c r="P6" s="3233"/>
      <c r="Q6" s="3233"/>
      <c r="R6" s="3233"/>
      <c r="S6" s="3233"/>
      <c r="T6" s="3233"/>
      <c r="U6" s="3233"/>
      <c r="V6" s="3233"/>
      <c r="W6" s="1164"/>
      <c r="X6" s="1164"/>
      <c r="Y6" s="1498"/>
      <c r="Z6" s="1498"/>
      <c r="AA6" s="797"/>
      <c r="AB6" s="806" t="str">
        <f>ADDRESS(ROW(I11),COLUMN(I11))</f>
        <v>$I$11</v>
      </c>
      <c r="AC6" s="806" t="str">
        <f>ADDRESS(ROW(J11),COLUMN(J11))</f>
        <v>$J$11</v>
      </c>
      <c r="AD6" s="807" t="str">
        <f>ADDRESS(ROW(K11),COLUMN(K11))</f>
        <v>$K$11</v>
      </c>
      <c r="AI6" s="605"/>
      <c r="AJ6" s="799" t="str">
        <f>ADDRESS(ROW(T11),COLUMN(T11))</f>
        <v>$T$11</v>
      </c>
      <c r="AK6" s="799" t="str">
        <f>ADDRESS(ROW(U11),COLUMN(U11))</f>
        <v>$U$11</v>
      </c>
      <c r="AL6" s="799" t="str">
        <f>ADDRESS(ROW(V11),COLUMN(V11))</f>
        <v>$V$11</v>
      </c>
    </row>
    <row r="7" spans="1:38" ht="5.0999999999999996" customHeight="1" thickBot="1" x14ac:dyDescent="0.25">
      <c r="A7" s="1164"/>
      <c r="B7" s="1164"/>
      <c r="C7" s="1164"/>
      <c r="D7" s="1164"/>
      <c r="E7" s="1164"/>
      <c r="F7" s="1164"/>
      <c r="G7" s="1164"/>
      <c r="H7" s="1164"/>
      <c r="I7" s="1164"/>
      <c r="J7" s="1164"/>
      <c r="K7" s="1164"/>
      <c r="L7" s="1164"/>
      <c r="M7" s="1164"/>
      <c r="N7" s="1164"/>
      <c r="O7" s="1164"/>
      <c r="P7" s="1164"/>
      <c r="Q7" s="1164"/>
      <c r="R7" s="1164"/>
      <c r="S7" s="1164"/>
      <c r="T7" s="1164"/>
      <c r="U7" s="1164"/>
      <c r="V7" s="1164"/>
      <c r="W7" s="1164"/>
      <c r="X7" s="1164"/>
      <c r="Y7" s="1498"/>
      <c r="Z7" s="1498"/>
      <c r="AA7" s="604"/>
      <c r="AB7" s="605"/>
      <c r="AC7" s="605"/>
      <c r="AD7" s="606"/>
      <c r="AI7" s="605"/>
      <c r="AJ7" s="605"/>
      <c r="AK7" s="605"/>
      <c r="AL7" s="605"/>
    </row>
    <row r="8" spans="1:38" ht="12.75" customHeight="1" thickTop="1" x14ac:dyDescent="0.2">
      <c r="A8" s="1164"/>
      <c r="B8" s="3231" t="s">
        <v>763</v>
      </c>
      <c r="C8" s="3232"/>
      <c r="D8" s="3232"/>
      <c r="E8" s="3232"/>
      <c r="F8" s="3228" t="s">
        <v>623</v>
      </c>
      <c r="G8" s="3228"/>
      <c r="H8" s="3228"/>
      <c r="I8" s="1186"/>
      <c r="J8" s="1186"/>
      <c r="K8" s="1193"/>
      <c r="L8" s="1164"/>
      <c r="M8" s="3231" t="s">
        <v>874</v>
      </c>
      <c r="N8" s="3232"/>
      <c r="O8" s="3232"/>
      <c r="P8" s="3232"/>
      <c r="Q8" s="3228" t="s">
        <v>623</v>
      </c>
      <c r="R8" s="3228"/>
      <c r="S8" s="3228"/>
      <c r="T8" s="1186"/>
      <c r="U8" s="1186"/>
      <c r="V8" s="1193"/>
      <c r="W8" s="1164"/>
      <c r="X8" s="1164"/>
      <c r="Y8" s="1498"/>
      <c r="Z8" s="1498"/>
      <c r="AA8" s="604" t="s">
        <v>9</v>
      </c>
      <c r="AB8" s="808" t="s">
        <v>625</v>
      </c>
      <c r="AC8" s="808" t="s">
        <v>187</v>
      </c>
      <c r="AD8" s="809" t="s">
        <v>665</v>
      </c>
      <c r="AI8" s="605" t="s">
        <v>9</v>
      </c>
      <c r="AJ8" s="808" t="s">
        <v>625</v>
      </c>
      <c r="AK8" s="808" t="s">
        <v>187</v>
      </c>
      <c r="AL8" s="808" t="s">
        <v>665</v>
      </c>
    </row>
    <row r="9" spans="1:38" ht="12.75" customHeight="1" x14ac:dyDescent="0.2">
      <c r="A9" s="1164"/>
      <c r="B9" s="1184"/>
      <c r="C9" s="3229" t="s">
        <v>660</v>
      </c>
      <c r="D9" s="3229"/>
      <c r="E9" s="3229"/>
      <c r="F9" s="3000" t="s">
        <v>624</v>
      </c>
      <c r="G9" s="3000"/>
      <c r="H9" s="3000"/>
      <c r="I9" s="1851" t="s">
        <v>625</v>
      </c>
      <c r="J9" s="1851" t="s">
        <v>187</v>
      </c>
      <c r="K9" s="1852" t="s">
        <v>665</v>
      </c>
      <c r="L9" s="1164"/>
      <c r="M9" s="1184"/>
      <c r="N9" s="3229" t="s">
        <v>660</v>
      </c>
      <c r="O9" s="3229"/>
      <c r="P9" s="3229"/>
      <c r="Q9" s="3000" t="s">
        <v>624</v>
      </c>
      <c r="R9" s="3000"/>
      <c r="S9" s="3000"/>
      <c r="T9" s="1851" t="s">
        <v>625</v>
      </c>
      <c r="U9" s="1851" t="s">
        <v>187</v>
      </c>
      <c r="V9" s="1852" t="s">
        <v>665</v>
      </c>
      <c r="W9" s="1164"/>
      <c r="X9" s="1164"/>
      <c r="Y9" s="1498"/>
      <c r="Z9" s="1498"/>
      <c r="AA9" s="604" t="s">
        <v>10</v>
      </c>
      <c r="AB9" s="802" t="e">
        <f>VLOOKUP(VaGP_Patu,$AA$11:$AD$15,2,FALSE)</f>
        <v>#N/A</v>
      </c>
      <c r="AC9" s="802" t="e">
        <f>VLOOKUP(VaGP_Patu,$AA$11:$AD$15,3,FALSE)</f>
        <v>#N/A</v>
      </c>
      <c r="AD9" s="810" t="e">
        <f>VLOOKUP(VaGP_Patu,$AA$11:$AD$15,4,FALSE)</f>
        <v>#N/A</v>
      </c>
      <c r="AI9" s="605" t="s">
        <v>11</v>
      </c>
      <c r="AJ9" s="802">
        <f>VLOOKUP(VaAS_Patu,$AI$11:$AL$14,2,FALSE)</f>
        <v>8</v>
      </c>
      <c r="AK9" s="802">
        <f>VLOOKUP(VaAS_Patu,$AI$11:$AL$14,3,FALSE)</f>
        <v>6</v>
      </c>
      <c r="AL9" s="802">
        <f>VLOOKUP(VaAS_Patu,$AI$11:$AL$14,4,FALSE)</f>
        <v>30</v>
      </c>
    </row>
    <row r="10" spans="1:38" ht="12.75" customHeight="1" x14ac:dyDescent="0.2">
      <c r="A10" s="1164"/>
      <c r="B10" s="710"/>
      <c r="C10" s="11" t="s">
        <v>827</v>
      </c>
      <c r="D10" s="614"/>
      <c r="E10" s="614"/>
      <c r="F10" s="614"/>
      <c r="G10" s="615"/>
      <c r="H10" s="10"/>
      <c r="I10" s="1199"/>
      <c r="J10" s="1199"/>
      <c r="K10" s="1200"/>
      <c r="L10" s="1164"/>
      <c r="M10" s="710"/>
      <c r="N10" s="11" t="s">
        <v>827</v>
      </c>
      <c r="O10" s="614"/>
      <c r="P10" s="614"/>
      <c r="Q10" s="10"/>
      <c r="R10" s="619"/>
      <c r="S10" s="10"/>
      <c r="T10" s="1463"/>
      <c r="U10" s="1463"/>
      <c r="V10" s="1875"/>
      <c r="W10" s="1164"/>
      <c r="X10" s="1164"/>
      <c r="Y10" s="1498"/>
      <c r="Z10" s="1498"/>
      <c r="AA10" s="604"/>
      <c r="AB10" s="605"/>
      <c r="AC10" s="605"/>
      <c r="AD10" s="606"/>
      <c r="AI10" s="605"/>
      <c r="AJ10" s="605"/>
      <c r="AK10" s="605"/>
      <c r="AL10" s="605"/>
    </row>
    <row r="11" spans="1:38" x14ac:dyDescent="0.2">
      <c r="A11" s="1164"/>
      <c r="B11" s="710"/>
      <c r="C11" s="3235"/>
      <c r="D11" s="3236"/>
      <c r="E11" s="3237"/>
      <c r="F11" s="614"/>
      <c r="G11" s="617"/>
      <c r="H11" s="10"/>
      <c r="I11" s="1853" t="e">
        <f>VaGP_Rdt*AB9</f>
        <v>#N/A</v>
      </c>
      <c r="J11" s="1854" t="e">
        <f>VaGP_Rdt*AC9</f>
        <v>#N/A</v>
      </c>
      <c r="K11" s="1855" t="e">
        <f>VaGP_Rdt*AD9</f>
        <v>#N/A</v>
      </c>
      <c r="L11" s="1164"/>
      <c r="M11" s="710"/>
      <c r="N11" s="3235" t="s">
        <v>831</v>
      </c>
      <c r="O11" s="3236"/>
      <c r="P11" s="3237"/>
      <c r="Q11" s="10"/>
      <c r="R11" s="617">
        <v>8</v>
      </c>
      <c r="S11" s="10"/>
      <c r="T11" s="1853">
        <f>VaAS_Rdt*AJ9</f>
        <v>64</v>
      </c>
      <c r="U11" s="1854">
        <f>VaAS_Rdt*AK9</f>
        <v>48</v>
      </c>
      <c r="V11" s="1855">
        <f>VaAS_Rdt*AL9</f>
        <v>240</v>
      </c>
      <c r="W11" s="1164"/>
      <c r="X11" s="1164"/>
      <c r="Y11" s="1498"/>
      <c r="Z11" s="1498"/>
      <c r="AA11" s="811" t="s">
        <v>828</v>
      </c>
      <c r="AB11" s="812">
        <f>Paramètres!AJ3</f>
        <v>30</v>
      </c>
      <c r="AC11" s="812">
        <f>Paramètres!AK3</f>
        <v>8</v>
      </c>
      <c r="AD11" s="813">
        <f>Paramètres!AL3</f>
        <v>45</v>
      </c>
      <c r="AI11" s="613" t="s">
        <v>733</v>
      </c>
      <c r="AJ11" s="812">
        <f>Paramètres!AJ11</f>
        <v>8</v>
      </c>
      <c r="AK11" s="812">
        <f>Paramètres!AK11</f>
        <v>8</v>
      </c>
      <c r="AL11" s="812">
        <f>Paramètres!AL11</f>
        <v>45</v>
      </c>
    </row>
    <row r="12" spans="1:38" ht="5.0999999999999996" customHeight="1" thickBot="1" x14ac:dyDescent="0.25">
      <c r="A12" s="1164"/>
      <c r="B12" s="711"/>
      <c r="C12" s="697"/>
      <c r="D12" s="697"/>
      <c r="E12" s="697"/>
      <c r="F12" s="697"/>
      <c r="G12" s="697"/>
      <c r="H12" s="690"/>
      <c r="I12" s="1202"/>
      <c r="J12" s="1202"/>
      <c r="K12" s="1203"/>
      <c r="L12" s="1164"/>
      <c r="M12" s="711"/>
      <c r="N12" s="690"/>
      <c r="O12" s="690"/>
      <c r="P12" s="690"/>
      <c r="Q12" s="690"/>
      <c r="R12" s="689"/>
      <c r="S12" s="690"/>
      <c r="T12" s="1877"/>
      <c r="U12" s="1877"/>
      <c r="V12" s="1878"/>
      <c r="W12" s="1164"/>
      <c r="X12" s="1164"/>
      <c r="Y12" s="1498"/>
      <c r="Z12" s="1498"/>
      <c r="AA12" s="811" t="s">
        <v>829</v>
      </c>
      <c r="AB12" s="812">
        <f>Paramètres!AJ4</f>
        <v>27</v>
      </c>
      <c r="AC12" s="812">
        <f>Paramètres!AK4</f>
        <v>8</v>
      </c>
      <c r="AD12" s="813">
        <f>Paramètres!AL4</f>
        <v>35</v>
      </c>
      <c r="AI12" s="613" t="s">
        <v>734</v>
      </c>
      <c r="AJ12" s="812">
        <f>Paramètres!AJ12</f>
        <v>8</v>
      </c>
      <c r="AK12" s="812">
        <f>Paramètres!AK12</f>
        <v>7</v>
      </c>
      <c r="AL12" s="812">
        <f>Paramètres!AL12</f>
        <v>40</v>
      </c>
    </row>
    <row r="13" spans="1:38" ht="12.75" customHeight="1" thickTop="1" thickBot="1" x14ac:dyDescent="0.25">
      <c r="A13" s="1164"/>
      <c r="B13" s="1164"/>
      <c r="C13" s="1164"/>
      <c r="D13" s="1164"/>
      <c r="E13" s="1164"/>
      <c r="F13" s="1164"/>
      <c r="G13" s="1164"/>
      <c r="H13" s="1164"/>
      <c r="I13" s="1164"/>
      <c r="J13" s="1164"/>
      <c r="K13" s="622"/>
      <c r="L13" s="1164"/>
      <c r="M13" s="1164"/>
      <c r="N13" s="1164"/>
      <c r="O13" s="1164"/>
      <c r="P13" s="1164"/>
      <c r="Q13" s="1164"/>
      <c r="R13" s="1164"/>
      <c r="S13" s="1164"/>
      <c r="T13" s="1463"/>
      <c r="U13" s="1463"/>
      <c r="V13" s="1463"/>
      <c r="W13" s="1164"/>
      <c r="X13" s="1164"/>
      <c r="Y13" s="1498"/>
      <c r="Z13" s="1498"/>
      <c r="AA13" s="811" t="s">
        <v>830</v>
      </c>
      <c r="AB13" s="812">
        <f>Paramètres!AJ5</f>
        <v>25</v>
      </c>
      <c r="AC13" s="812">
        <f>Paramètres!AK5</f>
        <v>7</v>
      </c>
      <c r="AD13" s="813">
        <f>Paramètres!AL5</f>
        <v>30</v>
      </c>
      <c r="AI13" s="605" t="s">
        <v>713</v>
      </c>
      <c r="AJ13" s="812">
        <f>Paramètres!AJ13</f>
        <v>8</v>
      </c>
      <c r="AK13" s="812">
        <f>Paramètres!AK13</f>
        <v>8</v>
      </c>
      <c r="AL13" s="812">
        <f>Paramètres!AL13</f>
        <v>40</v>
      </c>
    </row>
    <row r="14" spans="1:38" ht="13.5" thickTop="1" x14ac:dyDescent="0.2">
      <c r="A14" s="1164"/>
      <c r="B14" s="3241" t="s">
        <v>731</v>
      </c>
      <c r="C14" s="3242"/>
      <c r="D14" s="3242"/>
      <c r="E14" s="3242"/>
      <c r="F14" s="1196"/>
      <c r="G14" s="1196"/>
      <c r="H14" s="1196"/>
      <c r="I14" s="1857" t="s">
        <v>625</v>
      </c>
      <c r="J14" s="1857" t="s">
        <v>187</v>
      </c>
      <c r="K14" s="1858" t="s">
        <v>665</v>
      </c>
      <c r="L14" s="1164"/>
      <c r="M14" s="3241" t="s">
        <v>731</v>
      </c>
      <c r="N14" s="3242"/>
      <c r="O14" s="3242"/>
      <c r="P14" s="3242"/>
      <c r="Q14" s="1196"/>
      <c r="R14" s="1196"/>
      <c r="S14" s="1196"/>
      <c r="T14" s="1857" t="s">
        <v>625</v>
      </c>
      <c r="U14" s="1857" t="s">
        <v>187</v>
      </c>
      <c r="V14" s="1858" t="s">
        <v>665</v>
      </c>
      <c r="W14" s="1164"/>
      <c r="X14" s="1164"/>
      <c r="Y14" s="1498"/>
      <c r="Z14" s="1498"/>
      <c r="AA14" s="811" t="s">
        <v>831</v>
      </c>
      <c r="AB14" s="812">
        <f>Paramètres!AJ6</f>
        <v>20</v>
      </c>
      <c r="AC14" s="812">
        <f>Paramètres!AK6</f>
        <v>6</v>
      </c>
      <c r="AD14" s="813">
        <f>Paramètres!AL6</f>
        <v>25</v>
      </c>
      <c r="AI14" s="605" t="s">
        <v>831</v>
      </c>
      <c r="AJ14" s="812">
        <f>Paramètres!AJ14</f>
        <v>8</v>
      </c>
      <c r="AK14" s="812">
        <f>Paramètres!AK14</f>
        <v>6</v>
      </c>
      <c r="AL14" s="812">
        <f>Paramètres!AL14</f>
        <v>30</v>
      </c>
    </row>
    <row r="15" spans="1:38" ht="5.0999999999999996" customHeight="1" x14ac:dyDescent="0.2">
      <c r="A15" s="1164"/>
      <c r="B15" s="1173"/>
      <c r="C15" s="1195"/>
      <c r="D15" s="1195"/>
      <c r="E15" s="1195"/>
      <c r="F15" s="1195"/>
      <c r="G15" s="1195"/>
      <c r="H15" s="1195"/>
      <c r="I15" s="1177"/>
      <c r="J15" s="1177"/>
      <c r="K15" s="1168"/>
      <c r="L15" s="1164"/>
      <c r="M15" s="1173"/>
      <c r="N15" s="1195"/>
      <c r="O15" s="1195"/>
      <c r="P15" s="1195"/>
      <c r="Q15" s="1195"/>
      <c r="R15" s="1195"/>
      <c r="S15" s="1195"/>
      <c r="T15" s="1874"/>
      <c r="U15" s="1874"/>
      <c r="V15" s="1875"/>
      <c r="W15" s="1164"/>
      <c r="X15" s="1164"/>
      <c r="Y15" s="1498"/>
      <c r="Z15" s="1498"/>
      <c r="AA15" s="814" t="s">
        <v>832</v>
      </c>
      <c r="AB15" s="815">
        <f>Paramètres!AJ7</f>
        <v>18</v>
      </c>
      <c r="AC15" s="815">
        <f>Paramètres!AK7</f>
        <v>6</v>
      </c>
      <c r="AD15" s="816">
        <f>Paramètres!AL7</f>
        <v>20</v>
      </c>
    </row>
    <row r="16" spans="1:38" x14ac:dyDescent="0.2">
      <c r="A16" s="1164"/>
      <c r="B16" s="3214" t="str">
        <f>"2.1. Restitutions de N, P et K des "&amp;D1&amp;" au pâturage"</f>
        <v>2.1. Restitutions de N, P et K des Vaches laitières au pâturage</v>
      </c>
      <c r="C16" s="3215"/>
      <c r="D16" s="3215"/>
      <c r="E16" s="3215"/>
      <c r="F16" s="3215"/>
      <c r="G16" s="622"/>
      <c r="H16" s="622"/>
      <c r="I16" s="622"/>
      <c r="J16" s="622"/>
      <c r="K16" s="1178"/>
      <c r="L16" s="1164"/>
      <c r="M16" s="3214" t="str">
        <f>"2.1. Restitutions de N, P et K des "&amp;D1&amp;" au pâturage"</f>
        <v>2.1. Restitutions de N, P et K des Vaches laitières au pâturage</v>
      </c>
      <c r="N16" s="3215"/>
      <c r="O16" s="3215"/>
      <c r="P16" s="3215"/>
      <c r="Q16" s="3215"/>
      <c r="R16" s="622"/>
      <c r="S16" s="622"/>
      <c r="T16" s="1463"/>
      <c r="U16" s="1463"/>
      <c r="V16" s="1875"/>
      <c r="W16" s="1164"/>
      <c r="X16" s="1164"/>
      <c r="Y16" s="1498"/>
      <c r="Z16" s="1498"/>
    </row>
    <row r="17" spans="1:49" x14ac:dyDescent="0.2">
      <c r="A17" s="1164"/>
      <c r="B17" s="1194"/>
      <c r="C17" s="3240" t="s">
        <v>764</v>
      </c>
      <c r="D17" s="3240"/>
      <c r="E17" s="3240"/>
      <c r="F17" s="1197"/>
      <c r="G17" s="1197"/>
      <c r="H17" s="1197"/>
      <c r="I17" s="1853">
        <f>IF($D$1=$AF$3,Pressions_Prairies!E21,IF($D$1=$AF$4,Pressions_Prairies!E22,IF($D$1=$AF$5,Pressions_Prairies!E23,"")))</f>
        <v>20.985975386726299</v>
      </c>
      <c r="J17" s="1854">
        <f>IF($D$1=$AF$3,Pressions_Prairies!F21,IF($D$1=$AF$4,Pressions_Prairies!F22,IF($D$1=$AF$5,Pressions_Prairies!F23,"")))</f>
        <v>23.297058432167656</v>
      </c>
      <c r="K17" s="1855">
        <f>IF($D$1=$AF$3,Pressions_Prairies!G21,IF($D$1=$AF$4,Pressions_Prairies!G22,IF($D$1=$AF$5,Pressions_Prairies!G23,"")))</f>
        <v>112.23772641286921</v>
      </c>
      <c r="L17" s="1164"/>
      <c r="M17" s="1194"/>
      <c r="N17" s="3240" t="s">
        <v>764</v>
      </c>
      <c r="O17" s="3240"/>
      <c r="P17" s="3240"/>
      <c r="Q17" s="1197"/>
      <c r="R17" s="1197"/>
      <c r="S17" s="1197"/>
      <c r="T17" s="1853">
        <f>IF($D$1=$AF$3,Pressions_Prairies!E21,IF($D$1=$AF$4,Pressions_Prairies!E22,IF($D$1=$AF$5,Pressions_Prairies!E23,"")))</f>
        <v>20.985975386726299</v>
      </c>
      <c r="U17" s="1854">
        <f>IF($D$1=$AF$3,Pressions_Prairies!F21,IF($D$1=$AF$4,Pressions_Prairies!F22,IF($D$1=$AF$5,Pressions_Prairies!F23,"")))</f>
        <v>23.297058432167656</v>
      </c>
      <c r="V17" s="1855">
        <f>IF($D$1=$AF$3,Pressions_Prairies!G21,IF($D$1=$AF$4,Pressions_Prairies!G22,IF($D$1=$AF$5,Pressions_Prairies!G23,"")))</f>
        <v>112.23772641286921</v>
      </c>
      <c r="W17" s="1164"/>
      <c r="X17" s="1164"/>
      <c r="Y17" s="1498"/>
      <c r="Z17" s="1498"/>
    </row>
    <row r="18" spans="1:49" ht="12.75" customHeight="1" x14ac:dyDescent="0.2">
      <c r="A18" s="1164"/>
      <c r="B18" s="3216" t="s">
        <v>644</v>
      </c>
      <c r="C18" s="3217"/>
      <c r="D18" s="3217"/>
      <c r="E18" s="3217"/>
      <c r="F18" s="1195"/>
      <c r="G18" s="1195"/>
      <c r="H18" s="1195"/>
      <c r="I18" s="622"/>
      <c r="J18" s="622"/>
      <c r="K18" s="1178"/>
      <c r="L18" s="1164"/>
      <c r="M18" s="3216" t="s">
        <v>644</v>
      </c>
      <c r="N18" s="3217"/>
      <c r="O18" s="3217"/>
      <c r="P18" s="3217"/>
      <c r="Q18" s="1195"/>
      <c r="R18" s="1195"/>
      <c r="S18" s="1195"/>
      <c r="T18" s="1879"/>
      <c r="U18" s="1879"/>
      <c r="V18" s="1880"/>
      <c r="W18" s="1164"/>
      <c r="X18" s="1164"/>
      <c r="Y18" s="1498"/>
      <c r="Z18" s="1498"/>
      <c r="AA18" s="797" t="s">
        <v>126</v>
      </c>
      <c r="AB18" s="603"/>
      <c r="AC18" s="603"/>
      <c r="AD18" s="603"/>
      <c r="AE18" s="603"/>
      <c r="AF18" s="603"/>
      <c r="AG18" s="603"/>
      <c r="AH18" s="603"/>
      <c r="AI18" s="603"/>
      <c r="AJ18" s="603" t="s">
        <v>125</v>
      </c>
      <c r="AK18" s="603"/>
      <c r="AL18" s="603"/>
      <c r="AM18" s="603"/>
      <c r="AN18" s="603"/>
      <c r="AO18" s="603" t="s">
        <v>15</v>
      </c>
      <c r="AP18" s="603"/>
      <c r="AQ18" s="603"/>
      <c r="AR18" s="603"/>
      <c r="AS18" s="603"/>
      <c r="AT18" s="603" t="s">
        <v>14</v>
      </c>
      <c r="AU18" s="603"/>
      <c r="AV18" s="603"/>
      <c r="AW18" s="757"/>
    </row>
    <row r="19" spans="1:49" ht="5.0999999999999996" customHeight="1" x14ac:dyDescent="0.2">
      <c r="A19" s="1164"/>
      <c r="B19" s="691"/>
      <c r="C19" s="11"/>
      <c r="D19" s="11"/>
      <c r="E19" s="11"/>
      <c r="F19" s="11"/>
      <c r="G19" s="11"/>
      <c r="H19" s="11"/>
      <c r="I19" s="622"/>
      <c r="J19" s="622"/>
      <c r="K19" s="1178"/>
      <c r="L19" s="1164"/>
      <c r="M19" s="691"/>
      <c r="N19" s="11"/>
      <c r="O19" s="11"/>
      <c r="P19" s="11"/>
      <c r="Q19" s="11"/>
      <c r="R19" s="11"/>
      <c r="S19" s="11"/>
      <c r="T19" s="1881"/>
      <c r="U19" s="1881"/>
      <c r="V19" s="1880"/>
      <c r="W19" s="1164"/>
      <c r="X19" s="1164"/>
      <c r="Y19" s="1498"/>
      <c r="Z19" s="1498"/>
      <c r="AA19" s="604"/>
      <c r="AB19" s="605"/>
      <c r="AC19" s="605"/>
      <c r="AD19" s="605"/>
      <c r="AE19" s="605"/>
      <c r="AF19" s="605"/>
      <c r="AG19" s="605"/>
      <c r="AH19" s="605"/>
      <c r="AI19" s="605"/>
      <c r="AJ19" s="605"/>
      <c r="AK19" s="605"/>
      <c r="AL19" s="605"/>
      <c r="AM19" s="605"/>
      <c r="AN19" s="605"/>
      <c r="AO19" s="605"/>
      <c r="AP19" s="605"/>
      <c r="AQ19" s="605"/>
      <c r="AR19" s="605"/>
      <c r="AS19" s="605"/>
      <c r="AT19" s="605"/>
      <c r="AU19" s="605"/>
      <c r="AV19" s="605"/>
      <c r="AW19" s="606"/>
    </row>
    <row r="20" spans="1:49" x14ac:dyDescent="0.2">
      <c r="A20" s="1164"/>
      <c r="B20" s="691"/>
      <c r="C20" s="11" t="s">
        <v>634</v>
      </c>
      <c r="D20" s="11"/>
      <c r="E20" s="3247"/>
      <c r="F20" s="3248"/>
      <c r="G20" s="3249"/>
      <c r="H20" s="11"/>
      <c r="I20" s="622"/>
      <c r="J20" s="622"/>
      <c r="K20" s="1178"/>
      <c r="L20" s="1164"/>
      <c r="M20" s="691"/>
      <c r="N20" s="11" t="s">
        <v>634</v>
      </c>
      <c r="O20" s="11"/>
      <c r="P20" s="3247" t="s">
        <v>633</v>
      </c>
      <c r="Q20" s="3250"/>
      <c r="R20" s="3251"/>
      <c r="S20" s="11"/>
      <c r="T20" s="1881"/>
      <c r="U20" s="1881"/>
      <c r="V20" s="1880"/>
      <c r="W20" s="1164"/>
      <c r="X20" s="1164"/>
      <c r="Y20" s="1498"/>
      <c r="Z20" s="1498"/>
      <c r="AA20" s="828">
        <f>ROW()</f>
        <v>20</v>
      </c>
      <c r="AB20" s="829">
        <f>COLUMN()</f>
        <v>28</v>
      </c>
      <c r="AC20" s="613">
        <v>1</v>
      </c>
      <c r="AD20" s="613">
        <v>2</v>
      </c>
      <c r="AE20" s="613">
        <v>3</v>
      </c>
      <c r="AF20" s="613">
        <v>4</v>
      </c>
      <c r="AG20" s="613">
        <v>5</v>
      </c>
      <c r="AH20" s="613">
        <v>6</v>
      </c>
      <c r="AI20" s="605"/>
      <c r="AJ20" s="613" t="s">
        <v>633</v>
      </c>
      <c r="AK20" s="613">
        <v>1</v>
      </c>
      <c r="AL20" s="829" t="e">
        <f>VLOOKUP(VaGP_Sol,AJ20:AK22,2,FALSE)</f>
        <v>#N/A</v>
      </c>
      <c r="AM20" s="829">
        <f>VLOOKUP(VaAS_Sol,AJ20:AK22,2,FALSE)</f>
        <v>1</v>
      </c>
      <c r="AN20" s="605"/>
      <c r="AO20" s="613" t="s">
        <v>636</v>
      </c>
      <c r="AP20" s="613">
        <v>0</v>
      </c>
      <c r="AQ20" s="829" t="e">
        <f>VLOOKUP(VaGP_Age,AO20:AP21,2,FALSE)</f>
        <v>#N/A</v>
      </c>
      <c r="AR20" s="829">
        <f>VLOOKUP(VaAS_Age,AO20:AP21,2,FALSE)</f>
        <v>0</v>
      </c>
      <c r="AS20" s="605"/>
      <c r="AT20" s="613" t="s">
        <v>1016</v>
      </c>
      <c r="AU20" s="613">
        <v>1</v>
      </c>
      <c r="AV20" s="829" t="e">
        <f>VLOOKUP(VaGP_Fert,AT20:AU22,2,FALSE)</f>
        <v>#N/A</v>
      </c>
      <c r="AW20" s="833">
        <f>VLOOKUP(VaAS_Fert,AT20:AU22,2,FALSE)</f>
        <v>1</v>
      </c>
    </row>
    <row r="21" spans="1:49" ht="5.0999999999999996" customHeight="1" x14ac:dyDescent="0.2">
      <c r="A21" s="1164"/>
      <c r="B21" s="691"/>
      <c r="C21" s="11"/>
      <c r="D21" s="11"/>
      <c r="E21" s="11"/>
      <c r="F21" s="11"/>
      <c r="G21" s="11"/>
      <c r="H21" s="11"/>
      <c r="I21" s="622"/>
      <c r="J21" s="622"/>
      <c r="K21" s="1178"/>
      <c r="L21" s="1164"/>
      <c r="M21" s="691"/>
      <c r="N21" s="11"/>
      <c r="O21" s="11"/>
      <c r="P21" s="11"/>
      <c r="Q21" s="11"/>
      <c r="R21" s="11"/>
      <c r="S21" s="11"/>
      <c r="T21" s="1881"/>
      <c r="U21" s="1881"/>
      <c r="V21" s="1880"/>
      <c r="W21" s="1164"/>
      <c r="X21" s="1164"/>
      <c r="Y21" s="1498"/>
      <c r="Z21" s="1498"/>
      <c r="AA21" s="604"/>
      <c r="AB21" s="613">
        <v>1</v>
      </c>
      <c r="AC21" s="830">
        <f>Paramètres!AJ20</f>
        <v>40</v>
      </c>
      <c r="AD21" s="830">
        <f>Paramètres!AK20</f>
        <v>60</v>
      </c>
      <c r="AE21" s="830">
        <f>Paramètres!AL20</f>
        <v>60</v>
      </c>
      <c r="AF21" s="830">
        <f>Paramètres!AM20</f>
        <v>80</v>
      </c>
      <c r="AG21" s="830">
        <f>Paramètres!AN20</f>
        <v>80</v>
      </c>
      <c r="AH21" s="830">
        <f>Paramètres!AO20</f>
        <v>110</v>
      </c>
      <c r="AI21" s="605"/>
      <c r="AJ21" s="613" t="s">
        <v>642</v>
      </c>
      <c r="AK21" s="613">
        <v>3</v>
      </c>
      <c r="AM21" s="605"/>
      <c r="AN21" s="605"/>
      <c r="AO21" s="613" t="s">
        <v>637</v>
      </c>
      <c r="AP21" s="613">
        <v>1</v>
      </c>
      <c r="AQ21" s="605"/>
      <c r="AR21" s="605"/>
      <c r="AS21" s="605"/>
      <c r="AT21" s="613" t="s">
        <v>1015</v>
      </c>
      <c r="AU21" s="613">
        <v>2</v>
      </c>
      <c r="AV21" s="605"/>
      <c r="AW21" s="606"/>
    </row>
    <row r="22" spans="1:49" x14ac:dyDescent="0.2">
      <c r="A22" s="1164"/>
      <c r="B22" s="691"/>
      <c r="C22" s="11" t="s">
        <v>632</v>
      </c>
      <c r="D22" s="11"/>
      <c r="E22" s="3247"/>
      <c r="F22" s="3249"/>
      <c r="G22" s="11"/>
      <c r="H22" s="11"/>
      <c r="I22" s="622"/>
      <c r="J22" s="622"/>
      <c r="K22" s="1178"/>
      <c r="L22" s="1164"/>
      <c r="M22" s="691"/>
      <c r="N22" s="11" t="s">
        <v>632</v>
      </c>
      <c r="O22" s="11"/>
      <c r="P22" s="3238" t="s">
        <v>636</v>
      </c>
      <c r="Q22" s="3239"/>
      <c r="R22" s="11"/>
      <c r="S22" s="11"/>
      <c r="T22" s="1881"/>
      <c r="U22" s="1881"/>
      <c r="V22" s="1880"/>
      <c r="W22" s="1164"/>
      <c r="X22" s="1164"/>
      <c r="Y22" s="1498"/>
      <c r="Z22" s="1498"/>
      <c r="AA22" s="604"/>
      <c r="AB22" s="613">
        <v>2</v>
      </c>
      <c r="AC22" s="830">
        <f>Paramètres!AJ21</f>
        <v>60</v>
      </c>
      <c r="AD22" s="830">
        <f>Paramètres!AK21</f>
        <v>80</v>
      </c>
      <c r="AE22" s="830">
        <f>Paramètres!AL21</f>
        <v>90</v>
      </c>
      <c r="AF22" s="830">
        <f>Paramètres!AM21</f>
        <v>110</v>
      </c>
      <c r="AG22" s="830">
        <f>Paramètres!AN21</f>
        <v>110</v>
      </c>
      <c r="AH22" s="830">
        <f>Paramètres!AO21</f>
        <v>140</v>
      </c>
      <c r="AI22" s="605"/>
      <c r="AJ22" s="613" t="s">
        <v>635</v>
      </c>
      <c r="AK22" s="613">
        <v>5</v>
      </c>
      <c r="AM22" s="605"/>
      <c r="AN22" s="605"/>
      <c r="AO22" s="605"/>
      <c r="AP22" s="605"/>
      <c r="AQ22" s="605"/>
      <c r="AR22" s="605"/>
      <c r="AS22" s="605"/>
      <c r="AT22" s="613" t="s">
        <v>1014</v>
      </c>
      <c r="AU22" s="613">
        <v>3</v>
      </c>
      <c r="AV22" s="605"/>
      <c r="AW22" s="606"/>
    </row>
    <row r="23" spans="1:49" ht="5.0999999999999996" customHeight="1" x14ac:dyDescent="0.2">
      <c r="A23" s="1164"/>
      <c r="B23" s="691"/>
      <c r="C23" s="11"/>
      <c r="D23" s="11"/>
      <c r="E23" s="11"/>
      <c r="F23" s="11"/>
      <c r="G23" s="11"/>
      <c r="H23" s="11"/>
      <c r="I23" s="622"/>
      <c r="J23" s="622"/>
      <c r="K23" s="1178"/>
      <c r="L23" s="1164"/>
      <c r="M23" s="691"/>
      <c r="N23" s="11"/>
      <c r="O23" s="11"/>
      <c r="P23" s="11"/>
      <c r="Q23" s="11"/>
      <c r="R23" s="11"/>
      <c r="S23" s="11"/>
      <c r="T23" s="1881"/>
      <c r="U23" s="1881"/>
      <c r="V23" s="1880"/>
      <c r="W23" s="1164"/>
      <c r="X23" s="1164"/>
      <c r="Y23" s="1498"/>
      <c r="Z23" s="1498"/>
      <c r="AA23" s="758"/>
      <c r="AB23" s="831">
        <v>3</v>
      </c>
      <c r="AC23" s="832">
        <f>Paramètres!AJ22</f>
        <v>80</v>
      </c>
      <c r="AD23" s="832">
        <f>Paramètres!AK22</f>
        <v>100</v>
      </c>
      <c r="AE23" s="832">
        <f>Paramètres!AL22</f>
        <v>120</v>
      </c>
      <c r="AF23" s="832">
        <f>Paramètres!AM22</f>
        <v>150</v>
      </c>
      <c r="AG23" s="832">
        <f>Paramètres!AN22</f>
        <v>150</v>
      </c>
      <c r="AH23" s="832">
        <f>Paramètres!AO22</f>
        <v>190</v>
      </c>
      <c r="AI23" s="607"/>
      <c r="AJ23" s="607"/>
      <c r="AK23" s="607"/>
      <c r="AL23" s="607"/>
      <c r="AM23" s="607"/>
      <c r="AN23" s="607"/>
      <c r="AO23" s="607"/>
      <c r="AP23" s="607"/>
      <c r="AQ23" s="607"/>
      <c r="AR23" s="607"/>
      <c r="AS23" s="607"/>
      <c r="AT23" s="607"/>
      <c r="AU23" s="607"/>
      <c r="AV23" s="607"/>
      <c r="AW23" s="759"/>
    </row>
    <row r="24" spans="1:49" ht="12.75" customHeight="1" x14ac:dyDescent="0.2">
      <c r="A24" s="1164"/>
      <c r="B24" s="691"/>
      <c r="C24" s="11" t="s">
        <v>643</v>
      </c>
      <c r="D24" s="11"/>
      <c r="E24" s="3247"/>
      <c r="F24" s="3248"/>
      <c r="G24" s="3249"/>
      <c r="H24" s="11"/>
      <c r="I24" s="1856" t="e">
        <f ca="1">INDIRECT(ADDRESS(AA20+AV20,AB20+AL20+AQ20))</f>
        <v>#N/A</v>
      </c>
      <c r="J24" s="622"/>
      <c r="K24" s="1178"/>
      <c r="L24" s="1164"/>
      <c r="M24" s="691"/>
      <c r="N24" s="11" t="s">
        <v>643</v>
      </c>
      <c r="O24" s="11"/>
      <c r="P24" s="3247" t="s">
        <v>1016</v>
      </c>
      <c r="Q24" s="3248"/>
      <c r="R24" s="3249"/>
      <c r="S24" s="11"/>
      <c r="T24" s="1856">
        <f ca="1">INDIRECT(ADDRESS(AA20+AW20,AB20+AM20+AR20))</f>
        <v>40</v>
      </c>
      <c r="U24" s="1881"/>
      <c r="V24" s="1880"/>
      <c r="W24" s="1164"/>
      <c r="X24" s="1164"/>
      <c r="Y24" s="1498"/>
      <c r="Z24" s="1498"/>
    </row>
    <row r="25" spans="1:49" ht="5.0999999999999996" customHeight="1" x14ac:dyDescent="0.2">
      <c r="A25" s="1164"/>
      <c r="B25" s="692"/>
      <c r="C25" s="619"/>
      <c r="D25" s="619"/>
      <c r="E25" s="619"/>
      <c r="F25" s="619"/>
      <c r="G25" s="619"/>
      <c r="H25" s="619"/>
      <c r="I25" s="1197"/>
      <c r="J25" s="1197"/>
      <c r="K25" s="1198"/>
      <c r="L25" s="1164"/>
      <c r="M25" s="692"/>
      <c r="N25" s="619"/>
      <c r="O25" s="619"/>
      <c r="P25" s="619"/>
      <c r="Q25" s="619"/>
      <c r="R25" s="619"/>
      <c r="S25" s="619"/>
      <c r="T25" s="1882"/>
      <c r="U25" s="1882"/>
      <c r="V25" s="1883"/>
      <c r="W25" s="1164"/>
      <c r="X25" s="1164"/>
      <c r="Y25" s="1498"/>
      <c r="Z25" s="1498"/>
    </row>
    <row r="26" spans="1:49" ht="12.75" customHeight="1" x14ac:dyDescent="0.2">
      <c r="A26" s="1164"/>
      <c r="B26" s="691"/>
      <c r="C26" s="11"/>
      <c r="D26" s="11"/>
      <c r="E26" s="11"/>
      <c r="F26" s="11"/>
      <c r="G26" s="11"/>
      <c r="H26" s="11"/>
      <c r="I26" s="622"/>
      <c r="J26" s="622"/>
      <c r="K26" s="1178"/>
      <c r="L26" s="1164"/>
      <c r="M26" s="3216" t="s">
        <v>645</v>
      </c>
      <c r="N26" s="3217"/>
      <c r="O26" s="3217"/>
      <c r="P26" s="3217"/>
      <c r="Q26" s="622"/>
      <c r="R26" s="622"/>
      <c r="S26" s="622"/>
      <c r="T26" s="1881"/>
      <c r="U26" s="1881"/>
      <c r="V26" s="1880"/>
      <c r="W26" s="1164"/>
      <c r="X26" s="1164"/>
      <c r="Y26" s="1498"/>
      <c r="Z26" s="1498"/>
    </row>
    <row r="27" spans="1:49" ht="5.0999999999999996" customHeight="1" x14ac:dyDescent="0.2">
      <c r="A27" s="1164"/>
      <c r="B27" s="691"/>
      <c r="C27" s="11"/>
      <c r="D27" s="11"/>
      <c r="E27" s="11"/>
      <c r="F27" s="11"/>
      <c r="G27" s="11"/>
      <c r="H27" s="11"/>
      <c r="I27" s="622"/>
      <c r="J27" s="622"/>
      <c r="K27" s="1178"/>
      <c r="L27" s="1164"/>
      <c r="M27" s="691"/>
      <c r="N27" s="11"/>
      <c r="O27" s="11"/>
      <c r="P27" s="11"/>
      <c r="Q27" s="11"/>
      <c r="R27" s="11"/>
      <c r="S27" s="11"/>
      <c r="T27" s="1881"/>
      <c r="U27" s="1881"/>
      <c r="V27" s="1880"/>
      <c r="W27" s="1164"/>
      <c r="X27" s="1164"/>
      <c r="Y27" s="1498"/>
      <c r="Z27" s="1498"/>
    </row>
    <row r="28" spans="1:49" ht="12.75" customHeight="1" x14ac:dyDescent="0.2">
      <c r="A28" s="1164"/>
      <c r="B28" s="691"/>
      <c r="C28" s="11"/>
      <c r="D28" s="11"/>
      <c r="E28" s="11"/>
      <c r="F28" s="11"/>
      <c r="G28" s="11"/>
      <c r="H28" s="11"/>
      <c r="I28" s="622"/>
      <c r="J28" s="622"/>
      <c r="K28" s="1178"/>
      <c r="L28" s="1164"/>
      <c r="M28" s="691"/>
      <c r="N28" s="11" t="s">
        <v>626</v>
      </c>
      <c r="O28" s="11"/>
      <c r="P28" s="617">
        <v>8</v>
      </c>
      <c r="Q28" s="11"/>
      <c r="R28" s="11"/>
      <c r="S28" s="11"/>
      <c r="T28" s="1881"/>
      <c r="U28" s="1881"/>
      <c r="V28" s="1880"/>
      <c r="W28" s="1164"/>
      <c r="X28" s="1164"/>
      <c r="Y28" s="1498"/>
      <c r="Z28" s="1498"/>
    </row>
    <row r="29" spans="1:49" ht="5.0999999999999996" customHeight="1" x14ac:dyDescent="0.2">
      <c r="A29" s="1164"/>
      <c r="B29" s="691"/>
      <c r="C29" s="11"/>
      <c r="D29" s="11"/>
      <c r="E29" s="11"/>
      <c r="F29" s="11"/>
      <c r="G29" s="11"/>
      <c r="H29" s="11"/>
      <c r="I29" s="622"/>
      <c r="J29" s="622"/>
      <c r="K29" s="1178"/>
      <c r="L29" s="1164"/>
      <c r="M29" s="691"/>
      <c r="N29" s="11"/>
      <c r="O29" s="11"/>
      <c r="P29" s="11"/>
      <c r="Q29" s="11"/>
      <c r="R29" s="11"/>
      <c r="S29" s="11"/>
      <c r="T29" s="1881"/>
      <c r="U29" s="1881"/>
      <c r="V29" s="1880"/>
      <c r="W29" s="1164"/>
      <c r="X29" s="1164"/>
      <c r="Y29" s="1498"/>
      <c r="Z29" s="1498"/>
    </row>
    <row r="30" spans="1:49" ht="12.75" customHeight="1" x14ac:dyDescent="0.2">
      <c r="A30" s="1164"/>
      <c r="B30" s="691"/>
      <c r="C30" s="11"/>
      <c r="D30" s="11"/>
      <c r="E30" s="11"/>
      <c r="F30" s="11"/>
      <c r="G30" s="11"/>
      <c r="H30" s="11"/>
      <c r="I30" s="622"/>
      <c r="J30" s="622"/>
      <c r="K30" s="1178"/>
      <c r="L30" s="1164"/>
      <c r="M30" s="691"/>
      <c r="N30" s="11" t="s">
        <v>627</v>
      </c>
      <c r="O30" s="11"/>
      <c r="P30" s="617" t="s">
        <v>629</v>
      </c>
      <c r="Q30" s="11"/>
      <c r="R30" s="11"/>
      <c r="S30" s="11"/>
      <c r="T30" s="1856">
        <f ca="1">INDIRECT(ADDRESS(AA56+AQ56,AB56+AL56))</f>
        <v>107</v>
      </c>
      <c r="U30" s="1881"/>
      <c r="V30" s="1880"/>
      <c r="W30" s="1164"/>
      <c r="X30" s="1164"/>
      <c r="Y30" s="1498"/>
      <c r="Z30" s="1498"/>
    </row>
    <row r="31" spans="1:49" ht="5.0999999999999996" customHeight="1" x14ac:dyDescent="0.2">
      <c r="A31" s="1164"/>
      <c r="B31" s="691"/>
      <c r="C31" s="11"/>
      <c r="D31" s="11"/>
      <c r="E31" s="11"/>
      <c r="F31" s="11"/>
      <c r="G31" s="11"/>
      <c r="H31" s="11"/>
      <c r="I31" s="622"/>
      <c r="J31" s="622"/>
      <c r="K31" s="1178"/>
      <c r="L31" s="1164"/>
      <c r="M31" s="691"/>
      <c r="N31" s="11"/>
      <c r="O31" s="11"/>
      <c r="P31" s="11"/>
      <c r="Q31" s="11"/>
      <c r="R31" s="11"/>
      <c r="S31" s="11"/>
      <c r="T31" s="1463"/>
      <c r="U31" s="1463"/>
      <c r="V31" s="1875"/>
      <c r="W31" s="1164"/>
      <c r="X31" s="1164"/>
      <c r="Y31" s="1498"/>
      <c r="Z31" s="1498"/>
    </row>
    <row r="32" spans="1:49" ht="12.75" customHeight="1" x14ac:dyDescent="0.2">
      <c r="A32" s="1164"/>
      <c r="B32" s="3214" t="s">
        <v>1074</v>
      </c>
      <c r="C32" s="3215"/>
      <c r="D32" s="3215"/>
      <c r="E32" s="3215"/>
      <c r="F32" s="3215"/>
      <c r="G32" s="3215"/>
      <c r="H32" s="1455"/>
      <c r="I32" s="1455"/>
      <c r="J32" s="1455"/>
      <c r="K32" s="1178"/>
      <c r="L32" s="1164"/>
      <c r="M32" s="3214" t="s">
        <v>1075</v>
      </c>
      <c r="N32" s="3215"/>
      <c r="O32" s="3215"/>
      <c r="P32" s="3215"/>
      <c r="Q32" s="3215"/>
      <c r="R32" s="3215"/>
      <c r="S32" s="1455"/>
      <c r="T32" s="1463"/>
      <c r="U32" s="1463"/>
      <c r="V32" s="1875"/>
      <c r="W32" s="1164"/>
      <c r="X32" s="1164"/>
      <c r="Y32" s="1498"/>
      <c r="Z32" s="1498"/>
    </row>
    <row r="33" spans="1:56" ht="12.75" customHeight="1" x14ac:dyDescent="0.2">
      <c r="A33" s="1164"/>
      <c r="B33" s="1458"/>
      <c r="C33" s="1463" t="s">
        <v>2379</v>
      </c>
      <c r="D33" s="617"/>
      <c r="E33" s="1555" t="s">
        <v>2438</v>
      </c>
      <c r="F33" s="628"/>
      <c r="G33" s="11"/>
      <c r="H33" s="1455"/>
      <c r="I33" s="1856">
        <f>VaGP_Atmosph</f>
        <v>0</v>
      </c>
      <c r="J33" s="1455"/>
      <c r="K33" s="1178"/>
      <c r="L33" s="1164"/>
      <c r="M33" s="1458"/>
      <c r="N33" s="1463" t="s">
        <v>2379</v>
      </c>
      <c r="O33" s="617">
        <v>15</v>
      </c>
      <c r="P33" s="1555" t="s">
        <v>2438</v>
      </c>
      <c r="Q33" s="628"/>
      <c r="R33" s="11"/>
      <c r="S33" s="1455"/>
      <c r="T33" s="1856">
        <f>VaAS_Atmosph</f>
        <v>15</v>
      </c>
      <c r="U33" s="1463"/>
      <c r="V33" s="1875"/>
      <c r="W33" s="1164"/>
      <c r="X33" s="1164"/>
      <c r="Y33" s="1498"/>
      <c r="Z33" s="1498"/>
      <c r="AN33" s="3263" t="s">
        <v>1583</v>
      </c>
      <c r="AO33" s="3263"/>
      <c r="AP33" s="3263"/>
      <c r="AQ33" s="3263"/>
      <c r="AX33" s="3263" t="s">
        <v>1584</v>
      </c>
      <c r="AY33" s="3263"/>
      <c r="AZ33" s="3263"/>
      <c r="BA33" s="3263"/>
    </row>
    <row r="34" spans="1:56" ht="5.0999999999999996" customHeight="1" x14ac:dyDescent="0.2">
      <c r="A34" s="1164"/>
      <c r="B34" s="691"/>
      <c r="C34" s="11"/>
      <c r="D34" s="11"/>
      <c r="E34" s="11"/>
      <c r="F34" s="11"/>
      <c r="G34" s="11"/>
      <c r="H34" s="11"/>
      <c r="I34" s="1455"/>
      <c r="J34" s="1455"/>
      <c r="K34" s="1178"/>
      <c r="L34" s="1164"/>
      <c r="M34" s="691"/>
      <c r="N34" s="11"/>
      <c r="O34" s="11"/>
      <c r="P34" s="11"/>
      <c r="Q34" s="11"/>
      <c r="R34" s="11"/>
      <c r="S34" s="11"/>
      <c r="T34" s="1463"/>
      <c r="U34" s="1463"/>
      <c r="V34" s="1875"/>
      <c r="W34" s="1164"/>
      <c r="X34" s="1164"/>
      <c r="Y34" s="1498"/>
      <c r="Z34" s="1498"/>
    </row>
    <row r="35" spans="1:56" ht="12.75" customHeight="1" x14ac:dyDescent="0.2">
      <c r="A35" s="1164"/>
      <c r="B35" s="3216" t="s">
        <v>1035</v>
      </c>
      <c r="C35" s="3217"/>
      <c r="D35" s="3217"/>
      <c r="E35" s="3217"/>
      <c r="F35" s="1195"/>
      <c r="G35" s="1195"/>
      <c r="H35" s="1195"/>
      <c r="I35" s="1195"/>
      <c r="J35" s="1195"/>
      <c r="K35" s="1201"/>
      <c r="L35" s="1164"/>
      <c r="M35" s="3216" t="s">
        <v>1035</v>
      </c>
      <c r="N35" s="3217"/>
      <c r="O35" s="3217"/>
      <c r="P35" s="3217"/>
      <c r="Q35" s="1195"/>
      <c r="R35" s="1195"/>
      <c r="S35" s="1195"/>
      <c r="T35" s="1884"/>
      <c r="U35" s="1884"/>
      <c r="V35" s="1885"/>
      <c r="W35" s="1164"/>
      <c r="X35" s="1164"/>
      <c r="Y35" s="1498"/>
      <c r="Z35" s="1498"/>
      <c r="AN35" s="1770">
        <f>Priorite_Epand1</f>
        <v>1</v>
      </c>
      <c r="AO35" s="1369">
        <v>1</v>
      </c>
      <c r="AP35" s="1369">
        <v>2</v>
      </c>
      <c r="AQ35" s="1772" t="s">
        <v>1582</v>
      </c>
      <c r="AX35" s="1770">
        <f>Priorite_Epand2</f>
        <v>0</v>
      </c>
      <c r="AY35" s="1369">
        <v>1</v>
      </c>
      <c r="AZ35" s="1369">
        <v>2</v>
      </c>
      <c r="BA35" s="1772" t="s">
        <v>1582</v>
      </c>
    </row>
    <row r="36" spans="1:56" ht="12.75" customHeight="1" x14ac:dyDescent="0.2">
      <c r="A36" s="1164"/>
      <c r="B36" s="694"/>
      <c r="C36" s="3222" t="s">
        <v>1076</v>
      </c>
      <c r="D36" s="3223"/>
      <c r="E36" s="3223"/>
      <c r="F36" s="622"/>
      <c r="G36" s="622"/>
      <c r="H36" s="622"/>
      <c r="I36" s="1859" t="e">
        <f ca="1">I17+I24+I33</f>
        <v>#N/A</v>
      </c>
      <c r="J36" s="1860">
        <f>J17</f>
        <v>23.297058432167656</v>
      </c>
      <c r="K36" s="1861">
        <f>K17</f>
        <v>112.23772641286921</v>
      </c>
      <c r="L36" s="1164"/>
      <c r="M36" s="694"/>
      <c r="N36" s="3222" t="s">
        <v>1077</v>
      </c>
      <c r="O36" s="3223"/>
      <c r="P36" s="3223"/>
      <c r="Q36" s="622"/>
      <c r="R36" s="622"/>
      <c r="S36" s="622"/>
      <c r="T36" s="1859">
        <f ca="1">T17+T24+T30+T33</f>
        <v>182.9859753867263</v>
      </c>
      <c r="U36" s="1860">
        <f>U17</f>
        <v>23.297058432167656</v>
      </c>
      <c r="V36" s="1861">
        <f>V17</f>
        <v>112.23772641286921</v>
      </c>
      <c r="W36" s="1164"/>
      <c r="X36" s="1164"/>
      <c r="Y36" s="1498"/>
      <c r="Z36" s="1498"/>
      <c r="AN36" s="1369">
        <v>2</v>
      </c>
      <c r="AO36" s="1520" t="s">
        <v>2168</v>
      </c>
      <c r="AP36" s="1520" t="s">
        <v>2167</v>
      </c>
      <c r="AQ36" s="1736" t="str">
        <f>HLOOKUP($AN$35,$AO$35:$AP$41,AN36,FALSE)</f>
        <v xml:space="preserve">Dose N possible (tous types de prairies) </v>
      </c>
      <c r="AR36" s="1337" t="str">
        <f>AQ36</f>
        <v xml:space="preserve">Dose N possible (tous types de prairies) </v>
      </c>
      <c r="AX36" s="1369">
        <v>2</v>
      </c>
      <c r="AY36" s="1520" t="s">
        <v>2168</v>
      </c>
      <c r="AZ36" s="1520" t="s">
        <v>2167</v>
      </c>
      <c r="BA36" s="1736" t="e">
        <f>HLOOKUP($AX$35,$AY$35:$AZ$41,AX36,FALSE)</f>
        <v>#N/A</v>
      </c>
      <c r="BB36" s="1337" t="e">
        <f>BA36</f>
        <v>#N/A</v>
      </c>
    </row>
    <row r="37" spans="1:56" ht="25.5" customHeight="1" x14ac:dyDescent="0.2">
      <c r="A37" s="1164"/>
      <c r="B37" s="694"/>
      <c r="C37" s="3252" t="s">
        <v>641</v>
      </c>
      <c r="D37" s="3252"/>
      <c r="E37" s="3252"/>
      <c r="F37" s="10"/>
      <c r="G37" s="10"/>
      <c r="H37" s="10"/>
      <c r="I37" s="2935" t="e">
        <f ca="1">I11-I36</f>
        <v>#N/A</v>
      </c>
      <c r="J37" s="2936" t="e">
        <f>J11-J36</f>
        <v>#N/A</v>
      </c>
      <c r="K37" s="2937" t="e">
        <f>K11-K36</f>
        <v>#N/A</v>
      </c>
      <c r="L37" s="1164"/>
      <c r="M37" s="694"/>
      <c r="N37" s="10" t="s">
        <v>641</v>
      </c>
      <c r="O37" s="10"/>
      <c r="P37" s="3213" t="str">
        <f ca="1">IF(T37&lt;0,"Une valeur négative indique que les apports du sol en azote excèdent les besoins","")</f>
        <v>Une valeur négative indique que les apports du sol en azote excèdent les besoins</v>
      </c>
      <c r="Q37" s="3213"/>
      <c r="R37" s="3213"/>
      <c r="S37" s="3224"/>
      <c r="T37" s="2935">
        <f ca="1">MAX(T11-T36)</f>
        <v>-118.9859753867263</v>
      </c>
      <c r="U37" s="2936">
        <f>U11-U36</f>
        <v>24.702941567832344</v>
      </c>
      <c r="V37" s="2937">
        <f>V11-V36</f>
        <v>127.76227358713079</v>
      </c>
      <c r="W37" s="1164"/>
      <c r="X37" s="1164"/>
      <c r="Y37" s="1498"/>
      <c r="Z37" s="1498"/>
      <c r="AA37" s="797" t="s">
        <v>1905</v>
      </c>
      <c r="AB37" s="603"/>
      <c r="AC37" s="603"/>
      <c r="AD37" s="824" t="s">
        <v>625</v>
      </c>
      <c r="AE37" s="824" t="s">
        <v>187</v>
      </c>
      <c r="AF37" s="842" t="s">
        <v>665</v>
      </c>
      <c r="AN37" s="1369">
        <v>3</v>
      </c>
      <c r="AO37" s="1337"/>
      <c r="AP37" s="1520" t="s">
        <v>2169</v>
      </c>
      <c r="AQ37" s="1736" t="str">
        <f>IF($AN$35=1,"",HLOOKUP($AN$35,$AO$35:$AP$41,AN37,FALSE))</f>
        <v/>
      </c>
      <c r="AR37" s="1337" t="str">
        <f>AQ37</f>
        <v/>
      </c>
      <c r="AX37" s="1369">
        <v>3</v>
      </c>
      <c r="AY37" s="1337"/>
      <c r="AZ37" s="1520" t="s">
        <v>2169</v>
      </c>
      <c r="BA37" s="1736" t="e">
        <f>IF($AX$35=1,"",HLOOKUP($AX$35,$AY$35:$AZ$41,AX37,FALSE))</f>
        <v>#N/A</v>
      </c>
      <c r="BB37" s="1337" t="e">
        <f>BA37</f>
        <v>#N/A</v>
      </c>
    </row>
    <row r="38" spans="1:56" ht="12.75" customHeight="1" thickBot="1" x14ac:dyDescent="0.25">
      <c r="A38" s="1164"/>
      <c r="B38" s="1179"/>
      <c r="C38" s="3219" t="s">
        <v>1906</v>
      </c>
      <c r="D38" s="3219"/>
      <c r="E38" s="3219"/>
      <c r="F38" s="3219"/>
      <c r="G38" s="3219"/>
      <c r="H38" s="3220"/>
      <c r="I38" s="1862" t="e">
        <f ca="1">I37/$AD38</f>
        <v>#N/A</v>
      </c>
      <c r="J38" s="1863" t="e">
        <f>J37/$AE38</f>
        <v>#N/A</v>
      </c>
      <c r="K38" s="1864" t="e">
        <f>K37/$AF38</f>
        <v>#N/A</v>
      </c>
      <c r="L38" s="1164"/>
      <c r="M38" s="1179"/>
      <c r="N38" s="3219" t="s">
        <v>732</v>
      </c>
      <c r="O38" s="3219"/>
      <c r="P38" s="3219"/>
      <c r="Q38" s="3219"/>
      <c r="R38" s="3219"/>
      <c r="S38" s="3220"/>
      <c r="T38" s="1862">
        <f ca="1">MIN(80,T37/$AD38)</f>
        <v>-169.97996483818042</v>
      </c>
      <c r="U38" s="1863">
        <f>U37/$AE38</f>
        <v>29.062284197449817</v>
      </c>
      <c r="V38" s="1864">
        <f>V37/$AF38</f>
        <v>127.76227358713079</v>
      </c>
      <c r="W38" s="1164"/>
      <c r="X38" s="1164"/>
      <c r="Y38" s="1498"/>
      <c r="Z38" s="1498"/>
      <c r="AA38" s="758"/>
      <c r="AB38" s="607"/>
      <c r="AC38" s="607"/>
      <c r="AD38" s="843">
        <f>Paramètres!AJ34</f>
        <v>0.7</v>
      </c>
      <c r="AE38" s="843">
        <f>Paramètres!AK34</f>
        <v>0.85</v>
      </c>
      <c r="AF38" s="844">
        <f>Paramètres!AL34</f>
        <v>1</v>
      </c>
      <c r="AN38" s="1369">
        <v>4</v>
      </c>
      <c r="AO38" s="1337"/>
      <c r="AP38" s="1520" t="s">
        <v>2170</v>
      </c>
      <c r="AQ38" s="1736" t="str">
        <f>IF($AN$35=1,"",HLOOKUP($AN$35,$AO$35:$AP$41,AN38,FALSE))</f>
        <v/>
      </c>
      <c r="AR38" s="1337" t="str">
        <f>IF(AN35=1,AQ36,AQ38)</f>
        <v xml:space="preserve">Dose N possible (tous types de prairies) </v>
      </c>
      <c r="AX38" s="1369">
        <v>4</v>
      </c>
      <c r="AY38" s="1337"/>
      <c r="AZ38" s="1520" t="s">
        <v>2170</v>
      </c>
      <c r="BA38" s="1736" t="e">
        <f>IF($AX$35=1,"",HLOOKUP($AX$35,$AY$35:$AZ$41,AX38,FALSE))</f>
        <v>#N/A</v>
      </c>
      <c r="BB38" s="1337" t="e">
        <f>IF(AX35=1,BA36,BA38)</f>
        <v>#N/A</v>
      </c>
    </row>
    <row r="39" spans="1:56" ht="12.75" customHeight="1" thickTop="1" x14ac:dyDescent="0.2">
      <c r="A39" s="1164"/>
      <c r="B39" s="1164"/>
      <c r="C39" s="1455"/>
      <c r="D39" s="1455"/>
      <c r="E39" s="1455"/>
      <c r="F39" s="1455"/>
      <c r="G39" s="1455"/>
      <c r="H39" s="1455"/>
      <c r="I39" s="1460"/>
      <c r="J39" s="1164"/>
      <c r="K39" s="1455"/>
      <c r="L39" s="1164"/>
      <c r="M39" s="1164"/>
      <c r="N39" s="1164"/>
      <c r="O39" s="1164"/>
      <c r="P39" s="1164"/>
      <c r="Q39" s="1164"/>
      <c r="R39" s="1164"/>
      <c r="S39" s="1164"/>
      <c r="T39" s="1256"/>
      <c r="U39" s="1256"/>
      <c r="V39" s="1256"/>
      <c r="W39" s="1164"/>
      <c r="X39" s="1164"/>
      <c r="Y39" s="1498"/>
      <c r="Z39" s="1498"/>
      <c r="AN39" s="1369">
        <v>5</v>
      </c>
      <c r="AO39" s="1771">
        <f>ROUND(Plan_Epandage!$J$63,0)</f>
        <v>64</v>
      </c>
      <c r="AP39" s="1771">
        <f>Plan_Epandage!$H55</f>
        <v>40</v>
      </c>
      <c r="AQ39" s="1736">
        <f>HLOOKUP($AN$35,$AO$35:$AP$41,AN39,FALSE)</f>
        <v>64</v>
      </c>
      <c r="AR39" s="1337">
        <f>AQ39</f>
        <v>64</v>
      </c>
      <c r="AT39" s="1369" t="str">
        <f>IF(OR(AR39=0,AR39=""),""," brut")</f>
        <v xml:space="preserve"> brut</v>
      </c>
      <c r="AX39" s="1369">
        <v>5</v>
      </c>
      <c r="AY39" s="1771" t="e">
        <f>ROUND(Plan_Epandage!$J$110,0)</f>
        <v>#VALUE!</v>
      </c>
      <c r="AZ39" s="1771">
        <f>Plan_Epandage!$H102</f>
        <v>0</v>
      </c>
      <c r="BA39" s="1736" t="e">
        <f>HLOOKUP($AX$35,$AY$35:$AZ$41,AX39,FALSE)</f>
        <v>#N/A</v>
      </c>
      <c r="BB39" s="1337" t="e">
        <f>BA39</f>
        <v>#N/A</v>
      </c>
      <c r="BD39" s="1369" t="e">
        <f>IF(OR(BB39=0,BB39=""),""," brut")</f>
        <v>#N/A</v>
      </c>
    </row>
    <row r="40" spans="1:56" ht="12.75" customHeight="1" x14ac:dyDescent="0.2">
      <c r="A40" s="1164"/>
      <c r="B40" s="1741" t="s">
        <v>1543</v>
      </c>
      <c r="C40" s="1742"/>
      <c r="D40" s="1742" t="str">
        <f>IF(Plan_Epandage!$D$6&lt;=170,$AR$36&amp;$AR$39&amp;$AQ$35&amp;$AT$39,IF(Plan_Epandage!$D$6&gt;170,$BB$36&amp;$BB$39&amp;$AQ$35&amp;$BD$39,""))</f>
        <v>Dose N possible (tous types de prairies) 64 kg/ha brut</v>
      </c>
      <c r="E40" s="1742"/>
      <c r="F40" s="1742"/>
      <c r="G40" s="1742"/>
      <c r="H40" s="1742"/>
      <c r="I40" s="1743"/>
      <c r="J40" s="1744"/>
      <c r="K40" s="1742"/>
      <c r="L40" s="1744"/>
      <c r="M40" s="1741" t="s">
        <v>1543</v>
      </c>
      <c r="N40" s="1742"/>
      <c r="O40" s="1742" t="str">
        <f>IF(Plan_Epandage!$D$6&lt;=170,$AR$38&amp;$AR$41&amp;$AQ$35&amp;$AT$41,IF(Plan_Epandage!$D$6&gt;170,$BB$38&amp;$BB$41&amp;$AQ$35&amp;$BD$41,""))</f>
        <v>Dose N possible (tous types de prairies) 64 kg/ha brut</v>
      </c>
      <c r="P40" s="1744"/>
      <c r="Q40" s="1744"/>
      <c r="R40" s="1744"/>
      <c r="S40" s="1164"/>
      <c r="T40" s="1256"/>
      <c r="U40" s="1256"/>
      <c r="V40" s="1256"/>
      <c r="W40" s="1164"/>
      <c r="X40" s="1164"/>
      <c r="Y40" s="1498"/>
      <c r="Z40" s="1498"/>
      <c r="AN40" s="1369">
        <v>6</v>
      </c>
      <c r="AO40" s="1337"/>
      <c r="AP40" s="1771">
        <f>Plan_Epandage!$H56</f>
        <v>0</v>
      </c>
      <c r="AQ40" s="1736" t="str">
        <f>IF($AN$35=1,"",HLOOKUP($AN$35,$AO$35:$AP$41,AN40,FALSE))</f>
        <v/>
      </c>
      <c r="AR40" s="1337" t="str">
        <f>AQ40</f>
        <v/>
      </c>
      <c r="AT40" s="1369" t="str">
        <f>IF(OR(AR40=0,AR40=""),""," brut")</f>
        <v/>
      </c>
      <c r="AX40" s="1369">
        <v>6</v>
      </c>
      <c r="AY40" s="1337"/>
      <c r="AZ40" s="1771">
        <f>Plan_Epandage!$H103</f>
        <v>0</v>
      </c>
      <c r="BA40" s="1736" t="e">
        <f>IF($AX$35=1,"",HLOOKUP($AX$35,$AY$35:$AZ$41,AX40,FALSE))</f>
        <v>#N/A</v>
      </c>
      <c r="BB40" s="1337" t="e">
        <f>BA40</f>
        <v>#N/A</v>
      </c>
      <c r="BD40" s="1369" t="e">
        <f>IF(OR(BB40=0,BB40=""),""," brut")</f>
        <v>#N/A</v>
      </c>
    </row>
    <row r="41" spans="1:56" ht="16.5" customHeight="1" x14ac:dyDescent="0.2">
      <c r="A41" s="1164"/>
      <c r="B41" s="1744"/>
      <c r="C41" s="1742"/>
      <c r="D41" s="1742" t="str">
        <f>IF(Plan_Epandage!$D$6&lt;=170,$AR$37&amp;$AR$40&amp;$AQ$35&amp;$AT$40,IF(Plan_Epandage!$D$6&gt;170,$BB$37&amp;$BB$40&amp;$AQ$35&amp;$BD$40,""))</f>
        <v xml:space="preserve"> kg/ha</v>
      </c>
      <c r="E41" s="1742"/>
      <c r="F41" s="1742"/>
      <c r="G41" s="1742"/>
      <c r="H41" s="1742"/>
      <c r="I41" s="1743"/>
      <c r="J41" s="1744"/>
      <c r="K41" s="1742"/>
      <c r="L41" s="1744"/>
      <c r="M41" s="1744"/>
      <c r="N41" s="1742"/>
      <c r="O41" s="2934" t="s">
        <v>2419</v>
      </c>
      <c r="P41" s="1744"/>
      <c r="Q41" s="1744"/>
      <c r="R41" s="1744"/>
      <c r="S41" s="1164"/>
      <c r="T41" s="1256"/>
      <c r="U41" s="1256"/>
      <c r="V41" s="1256"/>
      <c r="W41" s="1164"/>
      <c r="X41" s="1164"/>
      <c r="Y41" s="1498"/>
      <c r="Z41" s="1498"/>
      <c r="AA41" s="1442"/>
      <c r="AN41" s="1369">
        <v>7</v>
      </c>
      <c r="AO41" s="1771"/>
      <c r="AP41" s="1771">
        <f>Plan_Epandage!$H57</f>
        <v>70</v>
      </c>
      <c r="AQ41" s="1736" t="str">
        <f>IF($AN$35=1,"",HLOOKUP($AN$35,$AO$35:$AP$41,AN41,FALSE))</f>
        <v/>
      </c>
      <c r="AR41" s="1337">
        <f>IF(AN35=1,AQ39,AQ41)</f>
        <v>64</v>
      </c>
      <c r="AT41" s="1369" t="str">
        <f>IF(OR(AR41=0,AR41=""),""," brut")</f>
        <v xml:space="preserve"> brut</v>
      </c>
      <c r="AX41" s="1369">
        <v>7</v>
      </c>
      <c r="AY41" s="1771"/>
      <c r="AZ41" s="1771">
        <f>Plan_Epandage!$H104</f>
        <v>0</v>
      </c>
      <c r="BA41" s="1736" t="e">
        <f>IF($AX$35=1,"",HLOOKUP($AX$35,$AY$35:$AZ$41,AX41,FALSE))</f>
        <v>#N/A</v>
      </c>
      <c r="BB41" s="1337" t="e">
        <f>IF(AX35=1,BA39,BA41)</f>
        <v>#N/A</v>
      </c>
      <c r="BD41" s="1369" t="e">
        <f>IF(OR(BB41=0,BB41=""),""," brut")</f>
        <v>#N/A</v>
      </c>
    </row>
    <row r="42" spans="1:56" ht="12.75" customHeight="1" thickBot="1" x14ac:dyDescent="0.25">
      <c r="A42" s="1164"/>
      <c r="B42" s="1164"/>
      <c r="C42" s="1723"/>
      <c r="D42" s="1723"/>
      <c r="E42" s="1723"/>
      <c r="F42" s="1723"/>
      <c r="G42" s="1723"/>
      <c r="H42" s="1723"/>
      <c r="I42" s="1724"/>
      <c r="J42" s="1164"/>
      <c r="K42" s="1723"/>
      <c r="L42" s="1164"/>
      <c r="M42" s="1164"/>
      <c r="N42" s="1164"/>
      <c r="O42" s="1164"/>
      <c r="P42" s="1164"/>
      <c r="Q42" s="1164"/>
      <c r="R42" s="1164"/>
      <c r="S42" s="1164"/>
      <c r="T42" s="1256"/>
      <c r="U42" s="1256"/>
      <c r="V42" s="1256"/>
      <c r="W42" s="1164"/>
      <c r="X42" s="1164"/>
      <c r="Y42" s="1498"/>
      <c r="Z42" s="1498"/>
      <c r="AP42" s="1275"/>
    </row>
    <row r="43" spans="1:56" ht="12.75" customHeight="1" thickTop="1" x14ac:dyDescent="0.2">
      <c r="A43" s="1164"/>
      <c r="B43" s="3241" t="s">
        <v>1036</v>
      </c>
      <c r="C43" s="3242"/>
      <c r="D43" s="3242"/>
      <c r="E43" s="3242"/>
      <c r="F43" s="1196"/>
      <c r="G43" s="1196"/>
      <c r="H43" s="1196"/>
      <c r="I43" s="1171"/>
      <c r="J43" s="1171"/>
      <c r="K43" s="1172"/>
      <c r="L43" s="1164"/>
      <c r="M43" s="3241" t="s">
        <v>1036</v>
      </c>
      <c r="N43" s="3242"/>
      <c r="O43" s="3242"/>
      <c r="P43" s="3242"/>
      <c r="Q43" s="1196"/>
      <c r="R43" s="1196"/>
      <c r="S43" s="1196"/>
      <c r="T43" s="1886"/>
      <c r="U43" s="1886"/>
      <c r="V43" s="1887"/>
      <c r="W43" s="1164"/>
      <c r="X43" s="1164"/>
      <c r="Y43" s="1498"/>
      <c r="Z43" s="1498"/>
      <c r="AA43" s="630" t="s">
        <v>876</v>
      </c>
      <c r="AB43" s="630" t="s">
        <v>648</v>
      </c>
      <c r="AC43" s="630" t="s">
        <v>947</v>
      </c>
      <c r="AD43" s="630" t="s">
        <v>649</v>
      </c>
      <c r="AE43" s="630"/>
      <c r="AF43" s="630" t="s">
        <v>949</v>
      </c>
      <c r="AG43" s="630" t="s">
        <v>949</v>
      </c>
      <c r="AH43" s="630" t="s">
        <v>949</v>
      </c>
      <c r="AI43" s="630" t="s">
        <v>949</v>
      </c>
      <c r="AJ43" s="630" t="s">
        <v>949</v>
      </c>
      <c r="AK43">
        <v>1</v>
      </c>
      <c r="AP43" s="1275"/>
    </row>
    <row r="44" spans="1:56" ht="12.75" customHeight="1" x14ac:dyDescent="0.2">
      <c r="A44" s="1164"/>
      <c r="B44" s="3216" t="s">
        <v>674</v>
      </c>
      <c r="C44" s="3217"/>
      <c r="D44" s="3217"/>
      <c r="E44" s="3217"/>
      <c r="F44" s="1455"/>
      <c r="G44" s="1455"/>
      <c r="H44" s="1455"/>
      <c r="I44" s="1455"/>
      <c r="J44" s="1455"/>
      <c r="K44" s="1178"/>
      <c r="L44" s="1164"/>
      <c r="M44" s="3216" t="s">
        <v>674</v>
      </c>
      <c r="N44" s="3217"/>
      <c r="O44" s="3217"/>
      <c r="P44" s="3217"/>
      <c r="Q44" s="1455"/>
      <c r="R44" s="1455"/>
      <c r="S44" s="1455"/>
      <c r="T44" s="1463"/>
      <c r="U44" s="1463"/>
      <c r="V44" s="1875"/>
      <c r="W44" s="1164"/>
      <c r="X44" s="1164"/>
      <c r="Y44" s="1498"/>
      <c r="Z44" s="1498"/>
      <c r="AA44" s="630" t="s">
        <v>878</v>
      </c>
      <c r="AB44" s="630" t="s">
        <v>648</v>
      </c>
      <c r="AC44" s="630" t="s">
        <v>948</v>
      </c>
      <c r="AD44" s="630" t="s">
        <v>649</v>
      </c>
      <c r="AE44" s="630"/>
      <c r="AF44" s="630" t="s">
        <v>949</v>
      </c>
      <c r="AG44" s="630" t="s">
        <v>949</v>
      </c>
      <c r="AH44" s="630" t="s">
        <v>949</v>
      </c>
      <c r="AI44" s="630" t="s">
        <v>949</v>
      </c>
      <c r="AJ44" s="630" t="s">
        <v>949</v>
      </c>
      <c r="AK44">
        <v>1</v>
      </c>
      <c r="AP44" s="1275"/>
    </row>
    <row r="45" spans="1:56" ht="12.75" customHeight="1" x14ac:dyDescent="0.2">
      <c r="A45" s="1164"/>
      <c r="B45" s="1458"/>
      <c r="C45" s="3221" t="s">
        <v>1306</v>
      </c>
      <c r="D45" s="3221"/>
      <c r="E45" s="3221"/>
      <c r="F45" s="3221"/>
      <c r="G45" s="3221"/>
      <c r="H45" s="3221"/>
      <c r="I45" s="3221"/>
      <c r="J45" s="1455"/>
      <c r="K45" s="1178"/>
      <c r="L45" s="1164"/>
      <c r="M45" s="1458"/>
      <c r="N45" s="2940" t="str">
        <f ca="1">IF(T37&lt;0,"Les apports du sol, excédentaires ou non en N ne permettent pas de fertilisation azotée en cycles d'été",IF(T37/$AD38&gt;80,"La quantité d'azote à couvrir a été plafonnée à 80 kg d'azote efficace",""))</f>
        <v>Les apports du sol, excédentaires ou non en N ne permettent pas de fertilisation azotée en cycles d'été</v>
      </c>
      <c r="O45" s="2940"/>
      <c r="P45" s="2940"/>
      <c r="Q45" s="2940"/>
      <c r="R45" s="2940"/>
      <c r="S45" s="1455"/>
      <c r="T45" s="1463"/>
      <c r="U45" s="1463"/>
      <c r="V45" s="1875"/>
      <c r="W45" s="1164"/>
      <c r="X45" s="1164"/>
      <c r="Y45" s="1498"/>
      <c r="Z45" s="1498"/>
      <c r="AA45" s="630" t="s">
        <v>877</v>
      </c>
      <c r="AB45" s="630" t="s">
        <v>716</v>
      </c>
      <c r="AC45" s="630" t="s">
        <v>946</v>
      </c>
      <c r="AD45" s="630" t="s">
        <v>649</v>
      </c>
      <c r="AE45" s="630"/>
      <c r="AF45" s="630" t="s">
        <v>656</v>
      </c>
      <c r="AG45" s="630" t="s">
        <v>657</v>
      </c>
      <c r="AH45" s="630" t="s">
        <v>659</v>
      </c>
      <c r="AI45" s="630" t="s">
        <v>717</v>
      </c>
      <c r="AK45">
        <v>1</v>
      </c>
      <c r="AP45" s="1275"/>
    </row>
    <row r="46" spans="1:56" ht="12.75" customHeight="1" x14ac:dyDescent="0.2">
      <c r="A46" s="1164"/>
      <c r="B46" s="1458"/>
      <c r="C46" s="3221" t="s">
        <v>1305</v>
      </c>
      <c r="D46" s="3221"/>
      <c r="E46" s="3221"/>
      <c r="F46" s="3221"/>
      <c r="G46" s="3221"/>
      <c r="H46" s="3221"/>
      <c r="I46" s="3221"/>
      <c r="J46" s="1455"/>
      <c r="K46" s="1178"/>
      <c r="L46" s="1164"/>
      <c r="M46" s="1458"/>
      <c r="N46" s="2940" t="str">
        <f ca="1">IF(T37&lt;0,"la fertilisation PK est à pratiquer, surtout avec plus de 20 % de légumineuse et en prairie multispécifique",IF(T37/$AD38&gt;80,"par ha sur les surfaces récoltables du premier cycle",""))</f>
        <v>la fertilisation PK est à pratiquer, surtout avec plus de 20 % de légumineuse et en prairie multispécifique</v>
      </c>
      <c r="O46" s="2940"/>
      <c r="P46" s="2940"/>
      <c r="Q46" s="2940"/>
      <c r="R46" s="2940"/>
      <c r="S46" s="1455"/>
      <c r="T46" s="1463"/>
      <c r="U46" s="1463"/>
      <c r="V46" s="1875"/>
      <c r="W46" s="1164"/>
      <c r="X46" s="1164"/>
      <c r="Y46" s="1498"/>
      <c r="Z46" s="1498"/>
      <c r="AA46" s="630" t="s">
        <v>714</v>
      </c>
      <c r="AB46" s="630" t="s">
        <v>648</v>
      </c>
      <c r="AC46" s="630" t="s">
        <v>715</v>
      </c>
      <c r="AD46" s="630" t="s">
        <v>649</v>
      </c>
      <c r="AE46" s="630"/>
      <c r="AF46" s="630" t="s">
        <v>949</v>
      </c>
      <c r="AG46" s="630" t="s">
        <v>949</v>
      </c>
      <c r="AH46" s="630" t="s">
        <v>949</v>
      </c>
      <c r="AI46" s="630" t="s">
        <v>949</v>
      </c>
      <c r="AJ46" s="630" t="s">
        <v>949</v>
      </c>
      <c r="AK46">
        <v>1</v>
      </c>
    </row>
    <row r="47" spans="1:56" x14ac:dyDescent="0.2">
      <c r="A47" s="1164"/>
      <c r="B47" s="1458"/>
      <c r="C47" s="3221" t="s">
        <v>2439</v>
      </c>
      <c r="D47" s="3221"/>
      <c r="E47" s="3221"/>
      <c r="F47" s="3221"/>
      <c r="G47" s="3221"/>
      <c r="H47" s="3221"/>
      <c r="I47" s="3221"/>
      <c r="J47" s="1455"/>
      <c r="K47" s="1178"/>
      <c r="L47" s="1164"/>
      <c r="M47" s="1458"/>
      <c r="N47" s="1457"/>
      <c r="O47" s="1175"/>
      <c r="P47" s="1455"/>
      <c r="Q47" s="1455"/>
      <c r="R47" s="1455"/>
      <c r="S47" s="1455"/>
      <c r="T47" s="1463"/>
      <c r="U47" s="1463"/>
      <c r="V47" s="1875"/>
      <c r="W47" s="1164"/>
      <c r="X47" s="1164"/>
      <c r="Y47" s="1498"/>
      <c r="Z47" s="1498"/>
      <c r="AA47" s="1514" t="s">
        <v>2375</v>
      </c>
      <c r="AB47" s="630" t="s">
        <v>716</v>
      </c>
      <c r="AC47" s="630" t="s">
        <v>715</v>
      </c>
      <c r="AD47" s="630" t="s">
        <v>649</v>
      </c>
      <c r="AE47" s="630"/>
      <c r="AF47" s="630" t="s">
        <v>949</v>
      </c>
      <c r="AG47" s="630" t="s">
        <v>949</v>
      </c>
      <c r="AH47" s="630" t="s">
        <v>949</v>
      </c>
      <c r="AI47" s="630" t="s">
        <v>949</v>
      </c>
      <c r="AJ47" s="630" t="s">
        <v>949</v>
      </c>
      <c r="AK47">
        <v>1</v>
      </c>
    </row>
    <row r="48" spans="1:56" ht="5.0999999999999996" customHeight="1" x14ac:dyDescent="0.2">
      <c r="A48" s="1164"/>
      <c r="B48" s="1458"/>
      <c r="C48" s="628"/>
      <c r="D48" s="628"/>
      <c r="E48" s="628"/>
      <c r="F48" s="628"/>
      <c r="G48" s="628"/>
      <c r="H48" s="1455"/>
      <c r="I48" s="1455"/>
      <c r="J48" s="1455"/>
      <c r="K48" s="1178"/>
      <c r="L48" s="1164"/>
      <c r="M48" s="1458"/>
      <c r="N48" s="1175"/>
      <c r="O48" s="1175"/>
      <c r="P48" s="1455"/>
      <c r="Q48" s="1455"/>
      <c r="R48" s="1455"/>
      <c r="S48" s="1455"/>
      <c r="T48" s="1463"/>
      <c r="U48" s="1463"/>
      <c r="V48" s="1875"/>
      <c r="W48" s="1164"/>
      <c r="X48" s="1164"/>
      <c r="Y48" s="1498"/>
      <c r="Z48" s="1498"/>
    </row>
    <row r="49" spans="1:43" x14ac:dyDescent="0.2">
      <c r="A49" s="1164"/>
      <c r="B49" s="1458"/>
      <c r="C49" s="628" t="s">
        <v>875</v>
      </c>
      <c r="D49" s="628"/>
      <c r="E49" s="3225" t="s">
        <v>876</v>
      </c>
      <c r="F49" s="3226"/>
      <c r="G49" s="628"/>
      <c r="H49" s="1455"/>
      <c r="I49" s="1455"/>
      <c r="J49" s="1455"/>
      <c r="K49" s="1178"/>
      <c r="L49" s="1164"/>
      <c r="M49" s="1458"/>
      <c r="N49" s="628" t="s">
        <v>875</v>
      </c>
      <c r="O49" s="628"/>
      <c r="P49" s="3225" t="s">
        <v>876</v>
      </c>
      <c r="Q49" s="3226"/>
      <c r="R49" s="628"/>
      <c r="S49" s="1455"/>
      <c r="T49" s="1463"/>
      <c r="U49" s="1463"/>
      <c r="V49" s="1875"/>
      <c r="W49" s="1164"/>
      <c r="X49" s="1164"/>
      <c r="Y49" s="1498"/>
      <c r="Z49" s="1498"/>
    </row>
    <row r="50" spans="1:43" ht="5.0999999999999996" customHeight="1" x14ac:dyDescent="0.2">
      <c r="A50" s="1164"/>
      <c r="B50" s="1458"/>
      <c r="C50" s="628"/>
      <c r="D50" s="628"/>
      <c r="E50" s="628"/>
      <c r="F50" s="628"/>
      <c r="G50" s="628"/>
      <c r="H50" s="1455"/>
      <c r="I50" s="1455"/>
      <c r="J50" s="1455"/>
      <c r="K50" s="1178"/>
      <c r="L50" s="1164"/>
      <c r="M50" s="1458"/>
      <c r="N50" s="628"/>
      <c r="O50" s="628"/>
      <c r="P50" s="628"/>
      <c r="Q50" s="628"/>
      <c r="R50" s="628"/>
      <c r="S50" s="1455"/>
      <c r="T50" s="1463"/>
      <c r="U50" s="1463"/>
      <c r="V50" s="1875"/>
      <c r="W50" s="1164"/>
      <c r="X50" s="1164"/>
      <c r="Y50" s="1498"/>
      <c r="Z50" s="1498"/>
    </row>
    <row r="51" spans="1:43" ht="12.75" customHeight="1" x14ac:dyDescent="0.2">
      <c r="A51" s="1164"/>
      <c r="B51" s="1458"/>
      <c r="C51" s="3218" t="str">
        <f>IF(ISBLANK(VaGP_FOrg),"...","Utilisation des "&amp;VaGP_FOrg&amp;"s de bovins ou de porcins")</f>
        <v>Utilisation des Fumiers de bovins ou de porcins</v>
      </c>
      <c r="D51" s="3218"/>
      <c r="E51" s="3218"/>
      <c r="F51" s="3218"/>
      <c r="G51" s="3218"/>
      <c r="H51" s="1455"/>
      <c r="I51" s="1455"/>
      <c r="J51" s="1455"/>
      <c r="K51" s="1178"/>
      <c r="L51" s="1164"/>
      <c r="M51" s="1458"/>
      <c r="N51" s="3218" t="str">
        <f>IF(ISBLANK(VaAS_FOrg),"...","Utilisation des "&amp;VaAS_FOrg&amp;"s de bovins ou de porcins")</f>
        <v>Utilisation des Fumiers de bovins ou de porcins</v>
      </c>
      <c r="O51" s="3218"/>
      <c r="P51" s="3218"/>
      <c r="Q51" s="3218"/>
      <c r="R51" s="3218"/>
      <c r="S51" s="1455"/>
      <c r="T51" s="1463"/>
      <c r="U51" s="1463"/>
      <c r="V51" s="1875"/>
      <c r="W51" s="1164"/>
      <c r="X51" s="1164"/>
      <c r="Y51" s="1498"/>
      <c r="Z51" s="1498"/>
    </row>
    <row r="52" spans="1:43" x14ac:dyDescent="0.2">
      <c r="A52" s="1164"/>
      <c r="B52" s="1458"/>
      <c r="C52" s="3212" t="str">
        <f>VLOOKUP(VaGP_FOrg,$AA$43:$AJ$47,2,FALSE)</f>
        <v xml:space="preserve">   - Entrer la dose brute (tonne par ha) prévue à partir des stocks disponibles</v>
      </c>
      <c r="D52" s="3212"/>
      <c r="E52" s="3212"/>
      <c r="F52" s="3212"/>
      <c r="G52" s="3212"/>
      <c r="H52" s="1455"/>
      <c r="I52" s="1455"/>
      <c r="J52" s="1455"/>
      <c r="K52" s="1178"/>
      <c r="L52" s="1164"/>
      <c r="M52" s="1458"/>
      <c r="N52" s="3212" t="str">
        <f>VLOOKUP(VaAS_FOrg,$AA$43:$AJ$47,2,FALSE)</f>
        <v xml:space="preserve">   - Entrer la dose brute (tonne par ha) prévue à partir des stocks disponibles</v>
      </c>
      <c r="O52" s="3212"/>
      <c r="P52" s="3212"/>
      <c r="Q52" s="3212"/>
      <c r="R52" s="3212"/>
      <c r="S52" s="1455"/>
      <c r="T52" s="1463"/>
      <c r="U52" s="1463"/>
      <c r="V52" s="1875"/>
      <c r="W52" s="1164"/>
      <c r="X52" s="1164"/>
      <c r="Y52" s="1498"/>
      <c r="Z52" s="1498"/>
    </row>
    <row r="53" spans="1:43" ht="12.75" customHeight="1" x14ac:dyDescent="0.2">
      <c r="A53" s="1164"/>
      <c r="B53" s="1458"/>
      <c r="C53" s="3212" t="str">
        <f>VLOOKUP(VaGP_FOrg,$AA$43:$AJ$47,3,FALSE)</f>
        <v xml:space="preserve">   - Si les fumiers ont été analysés, entrer les teneurs en N, P2O5 et K2O</v>
      </c>
      <c r="D53" s="3212"/>
      <c r="E53" s="3212"/>
      <c r="F53" s="3212"/>
      <c r="G53" s="3212"/>
      <c r="H53" s="1455"/>
      <c r="I53" s="1455"/>
      <c r="J53" s="1455"/>
      <c r="K53" s="1178"/>
      <c r="L53" s="1164"/>
      <c r="M53" s="1458"/>
      <c r="N53" s="3212" t="str">
        <f>VLOOKUP(VaAS_FOrg,$AA$43:$AJ$47,3,FALSE)</f>
        <v xml:space="preserve">   - Si les fumiers ont été analysés, entrer les teneurs en N, P2O5 et K2O</v>
      </c>
      <c r="O53" s="3212"/>
      <c r="P53" s="3212"/>
      <c r="Q53" s="3212"/>
      <c r="R53" s="3212"/>
      <c r="S53" s="1455"/>
      <c r="T53" s="1463"/>
      <c r="U53" s="1463"/>
      <c r="V53" s="1875"/>
      <c r="W53" s="1164"/>
      <c r="X53" s="1164"/>
      <c r="Y53" s="1498"/>
      <c r="Z53" s="1498"/>
    </row>
    <row r="54" spans="1:43" x14ac:dyDescent="0.2">
      <c r="A54" s="1164"/>
      <c r="B54" s="1458"/>
      <c r="C54" s="3212" t="str">
        <f>VLOOKUP(VaGP_FOrg,$AA$43:$AJ$47,4,FALSE)</f>
        <v xml:space="preserve">     sinon des valeurs standards seront utilisées automatiquement</v>
      </c>
      <c r="D54" s="3212"/>
      <c r="E54" s="3212"/>
      <c r="F54" s="3212"/>
      <c r="G54" s="3212"/>
      <c r="H54" s="1455"/>
      <c r="I54" s="1455"/>
      <c r="J54" s="1455"/>
      <c r="K54" s="1178"/>
      <c r="L54" s="1164"/>
      <c r="M54" s="1458"/>
      <c r="N54" s="3212" t="str">
        <f>VLOOKUP(VaAS_FOrg,$AA$43:$AJ$47,4,FALSE)</f>
        <v xml:space="preserve">     sinon des valeurs standards seront utilisées automatiquement</v>
      </c>
      <c r="O54" s="3212"/>
      <c r="P54" s="3212"/>
      <c r="Q54" s="3212"/>
      <c r="R54" s="3212"/>
      <c r="S54" s="1455"/>
      <c r="T54" s="1463"/>
      <c r="U54" s="1463"/>
      <c r="V54" s="1875"/>
      <c r="W54" s="1164"/>
      <c r="X54" s="1164"/>
      <c r="Y54" s="1498"/>
      <c r="Z54" s="1498"/>
      <c r="AA54" s="797" t="s">
        <v>137</v>
      </c>
      <c r="AB54" s="603"/>
      <c r="AC54" s="603"/>
      <c r="AD54" s="603"/>
      <c r="AE54" s="603"/>
      <c r="AF54" s="603"/>
      <c r="AG54" s="603"/>
      <c r="AH54" s="603"/>
      <c r="AI54" s="603"/>
      <c r="AJ54" s="603" t="s">
        <v>138</v>
      </c>
      <c r="AK54" s="603"/>
      <c r="AL54" s="603"/>
      <c r="AM54" s="603"/>
      <c r="AN54" s="603"/>
      <c r="AO54" s="603" t="s">
        <v>139</v>
      </c>
      <c r="AP54" s="603"/>
      <c r="AQ54" s="757"/>
    </row>
    <row r="55" spans="1:43" ht="12.75" customHeight="1" x14ac:dyDescent="0.2">
      <c r="A55" s="1164"/>
      <c r="B55" s="1458"/>
      <c r="C55" s="3212" t="str">
        <f>VLOOKUP(VaGP_FOrg,$AA$43:$AJ$47,6,FALSE)</f>
        <v>...</v>
      </c>
      <c r="D55" s="3212"/>
      <c r="E55" s="3212"/>
      <c r="F55" s="3212"/>
      <c r="G55" s="3212"/>
      <c r="H55" s="1455"/>
      <c r="I55" s="1455"/>
      <c r="J55" s="1455"/>
      <c r="K55" s="1178"/>
      <c r="L55" s="1164"/>
      <c r="M55" s="1458"/>
      <c r="N55" s="3212" t="str">
        <f>VLOOKUP(VaAS_FOrg,$AA$43:$AJ$47,6,FALSE)</f>
        <v>...</v>
      </c>
      <c r="O55" s="3212"/>
      <c r="P55" s="3212"/>
      <c r="Q55" s="3212"/>
      <c r="R55" s="3212"/>
      <c r="S55" s="1455"/>
      <c r="T55" s="1463"/>
      <c r="U55" s="1463"/>
      <c r="V55" s="1875"/>
      <c r="W55" s="1164"/>
      <c r="X55" s="1164"/>
      <c r="Y55" s="1498"/>
      <c r="Z55" s="1498"/>
      <c r="AA55" s="604"/>
      <c r="AB55" s="605"/>
      <c r="AC55" s="605"/>
      <c r="AD55" s="605"/>
      <c r="AE55" s="605"/>
      <c r="AF55" s="605"/>
      <c r="AG55" s="605"/>
      <c r="AH55" s="605"/>
      <c r="AI55" s="605"/>
      <c r="AJ55" s="605"/>
      <c r="AK55" s="605"/>
      <c r="AL55" s="605"/>
      <c r="AM55" s="605"/>
      <c r="AN55" s="605"/>
      <c r="AO55" s="605"/>
      <c r="AP55" s="605"/>
      <c r="AQ55" s="606"/>
    </row>
    <row r="56" spans="1:43" ht="12.75" customHeight="1" x14ac:dyDescent="0.2">
      <c r="A56" s="1164"/>
      <c r="B56" s="1458"/>
      <c r="C56" s="3212" t="str">
        <f>VLOOKUP(VaGP_FOrg,$AA$43:$AJ$47,7,FALSE)</f>
        <v>...</v>
      </c>
      <c r="D56" s="3212"/>
      <c r="E56" s="3212"/>
      <c r="F56" s="3212"/>
      <c r="G56" s="3212"/>
      <c r="H56" s="1455"/>
      <c r="I56" s="1455"/>
      <c r="J56" s="1455"/>
      <c r="K56" s="1178"/>
      <c r="L56" s="1164"/>
      <c r="M56" s="1458"/>
      <c r="N56" s="3212" t="str">
        <f>VLOOKUP(VaAS_FOrg,$AA$43:$AJ$47,7,FALSE)</f>
        <v>...</v>
      </c>
      <c r="O56" s="3212"/>
      <c r="P56" s="3212"/>
      <c r="Q56" s="3212"/>
      <c r="R56" s="3212"/>
      <c r="S56" s="1455"/>
      <c r="T56" s="1463"/>
      <c r="U56" s="1463"/>
      <c r="V56" s="1875"/>
      <c r="W56" s="1164"/>
      <c r="X56" s="1164"/>
      <c r="Y56" s="1498"/>
      <c r="Z56" s="1498"/>
      <c r="AA56" s="828">
        <f>ROW()</f>
        <v>56</v>
      </c>
      <c r="AB56" s="829">
        <f>COLUMN()</f>
        <v>28</v>
      </c>
      <c r="AC56" s="613">
        <v>1</v>
      </c>
      <c r="AD56" s="613">
        <v>2</v>
      </c>
      <c r="AE56" s="613">
        <v>3</v>
      </c>
      <c r="AF56" s="613">
        <v>4</v>
      </c>
      <c r="AG56" s="613">
        <v>5</v>
      </c>
      <c r="AH56" s="613">
        <v>6</v>
      </c>
      <c r="AI56" s="605"/>
      <c r="AJ56" s="613">
        <v>5</v>
      </c>
      <c r="AK56" s="613">
        <v>1</v>
      </c>
      <c r="AL56" s="829">
        <f>VLOOKUP(VaAS_Prod,AJ56:AK61,2,FALSE)</f>
        <v>4</v>
      </c>
      <c r="AM56" s="605"/>
      <c r="AN56" s="605"/>
      <c r="AO56" s="836" t="s">
        <v>628</v>
      </c>
      <c r="AP56" s="613">
        <v>1</v>
      </c>
      <c r="AQ56" s="833">
        <f>VLOOKUP(VaAS_Tref,AO56:AP59,2,FALSE)</f>
        <v>4</v>
      </c>
    </row>
    <row r="57" spans="1:43" ht="12.75" customHeight="1" x14ac:dyDescent="0.2">
      <c r="A57" s="1164"/>
      <c r="B57" s="1458"/>
      <c r="C57" s="3212" t="str">
        <f>VLOOKUP(VaGP_FOrg,$AA$43:$AJ$47,8,FALSE)</f>
        <v>...</v>
      </c>
      <c r="D57" s="3212"/>
      <c r="E57" s="3212"/>
      <c r="F57" s="3212"/>
      <c r="G57" s="3212"/>
      <c r="H57" s="1455"/>
      <c r="I57" s="1455"/>
      <c r="J57" s="1455"/>
      <c r="K57" s="1178"/>
      <c r="L57" s="1164"/>
      <c r="M57" s="1458"/>
      <c r="N57" s="3212" t="str">
        <f>VLOOKUP(VaAS_FOrg,$AA$43:$AJ$47,8,FALSE)</f>
        <v>...</v>
      </c>
      <c r="O57" s="3212"/>
      <c r="P57" s="3212"/>
      <c r="Q57" s="3212"/>
      <c r="R57" s="3212"/>
      <c r="S57" s="1455"/>
      <c r="T57" s="1463"/>
      <c r="U57" s="1463"/>
      <c r="V57" s="1875"/>
      <c r="W57" s="1164"/>
      <c r="X57" s="1164"/>
      <c r="Y57" s="1498"/>
      <c r="Z57" s="1498"/>
      <c r="AA57" s="604"/>
      <c r="AB57" s="613">
        <v>1</v>
      </c>
      <c r="AC57" s="830">
        <f>Paramètres!AJ27</f>
        <v>25</v>
      </c>
      <c r="AD57" s="830">
        <f>Paramètres!AK27</f>
        <v>25</v>
      </c>
      <c r="AE57" s="830">
        <f>Paramètres!AL27</f>
        <v>30</v>
      </c>
      <c r="AF57" s="830">
        <f>Paramètres!AM27</f>
        <v>36</v>
      </c>
      <c r="AG57" s="830">
        <f>Paramètres!AN27</f>
        <v>40</v>
      </c>
      <c r="AH57" s="830">
        <f>Paramètres!AO27</f>
        <v>45</v>
      </c>
      <c r="AI57" s="605"/>
      <c r="AJ57" s="613">
        <v>6</v>
      </c>
      <c r="AK57" s="613">
        <v>2</v>
      </c>
      <c r="AL57" s="605"/>
      <c r="AM57" s="605"/>
      <c r="AN57" s="605"/>
      <c r="AO57" s="837" t="s">
        <v>630</v>
      </c>
      <c r="AP57" s="613">
        <v>2</v>
      </c>
      <c r="AQ57" s="606"/>
    </row>
    <row r="58" spans="1:43" ht="12.75" customHeight="1" x14ac:dyDescent="0.2">
      <c r="A58" s="1164"/>
      <c r="B58" s="1458"/>
      <c r="C58" s="3212" t="str">
        <f>VLOOKUP(VaGP_FOrg,$AA$43:$AJ$47,9,FALSE)</f>
        <v>...</v>
      </c>
      <c r="D58" s="3212"/>
      <c r="E58" s="3212"/>
      <c r="F58" s="3212"/>
      <c r="G58" s="3212"/>
      <c r="H58" s="1455"/>
      <c r="I58" s="1455"/>
      <c r="J58" s="1455"/>
      <c r="K58" s="1178"/>
      <c r="L58" s="1164"/>
      <c r="M58" s="1458"/>
      <c r="N58" s="3212" t="str">
        <f>VLOOKUP(VaAS_FOrg,$AA$43:$AJ$47,9,FALSE)</f>
        <v>...</v>
      </c>
      <c r="O58" s="3212"/>
      <c r="P58" s="3212"/>
      <c r="Q58" s="3212"/>
      <c r="R58" s="3212"/>
      <c r="S58" s="1455"/>
      <c r="T58" s="1463"/>
      <c r="U58" s="1463"/>
      <c r="V58" s="1875"/>
      <c r="W58" s="1164"/>
      <c r="X58" s="1164"/>
      <c r="Y58" s="1498"/>
      <c r="Z58" s="1498"/>
      <c r="AA58" s="604"/>
      <c r="AB58" s="613">
        <v>2</v>
      </c>
      <c r="AC58" s="830">
        <f>Paramètres!AJ28</f>
        <v>28</v>
      </c>
      <c r="AD58" s="830">
        <f>Paramètres!AK28</f>
        <v>44</v>
      </c>
      <c r="AE58" s="830">
        <f>Paramètres!AL28</f>
        <v>52</v>
      </c>
      <c r="AF58" s="830">
        <f>Paramètres!AM28</f>
        <v>60</v>
      </c>
      <c r="AG58" s="830">
        <f>Paramètres!AN28</f>
        <v>67</v>
      </c>
      <c r="AH58" s="830">
        <f>Paramètres!AO28</f>
        <v>74</v>
      </c>
      <c r="AI58" s="605"/>
      <c r="AJ58" s="613">
        <v>7</v>
      </c>
      <c r="AK58" s="613">
        <v>3</v>
      </c>
      <c r="AL58" s="605"/>
      <c r="AM58" s="605"/>
      <c r="AN58" s="605"/>
      <c r="AO58" s="837" t="s">
        <v>631</v>
      </c>
      <c r="AP58" s="613">
        <v>3</v>
      </c>
      <c r="AQ58" s="606"/>
    </row>
    <row r="59" spans="1:43" ht="12.75" customHeight="1" x14ac:dyDescent="0.2">
      <c r="A59" s="1164"/>
      <c r="B59" s="1458"/>
      <c r="C59" s="1455"/>
      <c r="D59" s="1449" t="s">
        <v>212</v>
      </c>
      <c r="E59" s="3254" t="s">
        <v>1771</v>
      </c>
      <c r="F59" s="3024"/>
      <c r="G59" s="3024"/>
      <c r="H59" s="1449"/>
      <c r="I59" s="3243" t="s">
        <v>652</v>
      </c>
      <c r="J59" s="3243"/>
      <c r="K59" s="3244"/>
      <c r="L59" s="1164"/>
      <c r="M59" s="1458"/>
      <c r="N59" s="1455"/>
      <c r="O59" s="1449" t="s">
        <v>212</v>
      </c>
      <c r="P59" s="3254" t="s">
        <v>1771</v>
      </c>
      <c r="Q59" s="3024"/>
      <c r="R59" s="3024"/>
      <c r="S59" s="1449"/>
      <c r="T59" s="3243" t="s">
        <v>652</v>
      </c>
      <c r="U59" s="3243"/>
      <c r="V59" s="3244"/>
      <c r="W59" s="1164"/>
      <c r="X59" s="1164"/>
      <c r="Y59" s="1498"/>
      <c r="Z59" s="1498"/>
      <c r="AA59" s="604"/>
      <c r="AB59" s="613">
        <v>3</v>
      </c>
      <c r="AC59" s="830">
        <f>Paramètres!AJ29</f>
        <v>58</v>
      </c>
      <c r="AD59" s="830">
        <f>Paramètres!AK29</f>
        <v>65</v>
      </c>
      <c r="AE59" s="830">
        <f>Paramètres!AL29</f>
        <v>77</v>
      </c>
      <c r="AF59" s="830">
        <f>Paramètres!AM29</f>
        <v>88</v>
      </c>
      <c r="AG59" s="830">
        <f>Paramètres!AN29</f>
        <v>100</v>
      </c>
      <c r="AH59" s="830">
        <f>Paramètres!AO29</f>
        <v>110</v>
      </c>
      <c r="AI59" s="605"/>
      <c r="AJ59" s="613">
        <v>8</v>
      </c>
      <c r="AK59" s="613">
        <v>4</v>
      </c>
      <c r="AL59" s="605"/>
      <c r="AM59" s="605"/>
      <c r="AN59" s="605"/>
      <c r="AO59" s="836" t="s">
        <v>629</v>
      </c>
      <c r="AP59" s="613">
        <v>4</v>
      </c>
      <c r="AQ59" s="606"/>
    </row>
    <row r="60" spans="1:43" ht="12.75" customHeight="1" x14ac:dyDescent="0.2">
      <c r="A60" s="1164"/>
      <c r="B60" s="1458"/>
      <c r="C60" s="1449" t="str">
        <f>IF(OR(ISBLANK(VaGP_FOrg),VaGP_FOrg="Co-produit liquide"),"...","Nature du "&amp;VaGP_FOrg)</f>
        <v>Nature du Fumier</v>
      </c>
      <c r="D60" s="1449" t="str">
        <f>IF(OR(VaGP_FOrg=AA$43,VaGP_FOrg=AA$44,VaGP_FOrg=AA$46),"(tonnes/ha)",IF(OR(VaGP_FOrg=AA$45,VaGP_FOrg=AA$47),"(m3/ha)","..."))</f>
        <v>(tonnes/ha)</v>
      </c>
      <c r="E60" s="3000" t="str">
        <f>IF(OR(VaGP_FOrg=AA$43,VaGP_FOrg=AA$44,VaGP_FOrg=AA$46),"(kg/tonne)",IF(OR(VaGP_FOrg=AA$45,VaGP_FOrg=AA$47),"(kg/m3)","..."))</f>
        <v>(kg/tonne)</v>
      </c>
      <c r="F60" s="3000"/>
      <c r="G60" s="3000"/>
      <c r="H60" s="1449"/>
      <c r="I60" s="3245" t="s">
        <v>2023</v>
      </c>
      <c r="J60" s="3245"/>
      <c r="K60" s="3246"/>
      <c r="L60" s="1164"/>
      <c r="M60" s="1458"/>
      <c r="N60" s="1449" t="str">
        <f>IF(OR(ISBLANK(VaAS_FOrg),VaAS_FOrg="Co-produit liquide"),"...","Nature du "&amp;VaAS_FOrg)</f>
        <v>Nature du Fumier</v>
      </c>
      <c r="O60" s="1449" t="str">
        <f>IF(OR(VaAS_FOrg=AA$43,VaAS_FOrg=AA$44,VaAS_FOrg=AA$46),"(tonnes/ha)",IF(OR(VaAS_FOrg=AA$45,VaAS_FOrg=AA$47),"(m3/ha)","..."))</f>
        <v>(tonnes/ha)</v>
      </c>
      <c r="P60" s="3000" t="str">
        <f>IF(OR(VaAS_FOrg=AA$43,VaAS_FOrg=AA$44,VaAS_FOrg=AA$46),"(kg/tonne)",IF(OR(VaAS_FOrg=AA$45,VaAS_FOrg=AA$47),"(kg/m3)","..."))</f>
        <v>(kg/tonne)</v>
      </c>
      <c r="Q60" s="3000"/>
      <c r="R60" s="3000"/>
      <c r="S60" s="1449"/>
      <c r="T60" s="3245" t="s">
        <v>2023</v>
      </c>
      <c r="U60" s="3245"/>
      <c r="V60" s="3246"/>
      <c r="W60" s="1164"/>
      <c r="X60" s="1164"/>
      <c r="Y60" s="1498"/>
      <c r="Z60" s="1498"/>
      <c r="AA60" s="604"/>
      <c r="AB60" s="613">
        <v>4</v>
      </c>
      <c r="AC60" s="830">
        <f>Paramètres!AJ30</f>
        <v>65</v>
      </c>
      <c r="AD60" s="830">
        <f>Paramètres!AK30</f>
        <v>80</v>
      </c>
      <c r="AE60" s="830">
        <f>Paramètres!AL30</f>
        <v>94</v>
      </c>
      <c r="AF60" s="830">
        <f>Paramètres!AM30</f>
        <v>107</v>
      </c>
      <c r="AG60" s="830">
        <f>Paramètres!AN30</f>
        <v>120</v>
      </c>
      <c r="AH60" s="830">
        <f>Paramètres!AO30</f>
        <v>130</v>
      </c>
      <c r="AI60" s="605"/>
      <c r="AJ60" s="613">
        <v>9</v>
      </c>
      <c r="AK60" s="613">
        <v>5</v>
      </c>
      <c r="AL60" s="605"/>
      <c r="AM60" s="605"/>
      <c r="AN60" s="605"/>
      <c r="AO60" s="605"/>
      <c r="AP60" s="605"/>
      <c r="AQ60" s="606"/>
    </row>
    <row r="61" spans="1:43" ht="12.75" customHeight="1" x14ac:dyDescent="0.2">
      <c r="A61" s="1164"/>
      <c r="B61" s="691"/>
      <c r="C61" s="1449"/>
      <c r="D61" s="1449"/>
      <c r="E61" s="1449" t="s">
        <v>625</v>
      </c>
      <c r="F61" s="1449" t="s">
        <v>187</v>
      </c>
      <c r="G61" s="1449" t="s">
        <v>665</v>
      </c>
      <c r="H61" s="1449"/>
      <c r="I61" s="1872" t="s">
        <v>625</v>
      </c>
      <c r="J61" s="1872" t="s">
        <v>187</v>
      </c>
      <c r="K61" s="1873" t="s">
        <v>665</v>
      </c>
      <c r="L61" s="1164"/>
      <c r="M61" s="691"/>
      <c r="N61" s="1449"/>
      <c r="O61" s="1449"/>
      <c r="P61" s="1449" t="s">
        <v>625</v>
      </c>
      <c r="Q61" s="1449" t="s">
        <v>187</v>
      </c>
      <c r="R61" s="1449" t="s">
        <v>665</v>
      </c>
      <c r="S61" s="1449"/>
      <c r="T61" s="1872" t="s">
        <v>625</v>
      </c>
      <c r="U61" s="1872" t="s">
        <v>187</v>
      </c>
      <c r="V61" s="1873" t="s">
        <v>665</v>
      </c>
      <c r="W61" s="1164"/>
      <c r="X61" s="1164"/>
      <c r="Y61" s="1498"/>
      <c r="Z61" s="1498"/>
      <c r="AA61" s="758"/>
      <c r="AB61" s="607"/>
      <c r="AC61" s="607"/>
      <c r="AD61" s="607"/>
      <c r="AE61" s="607"/>
      <c r="AF61" s="607"/>
      <c r="AG61" s="607"/>
      <c r="AH61" s="607"/>
      <c r="AI61" s="607"/>
      <c r="AJ61" s="831">
        <v>10</v>
      </c>
      <c r="AK61" s="831">
        <v>6</v>
      </c>
      <c r="AL61" s="607"/>
      <c r="AM61" s="607"/>
      <c r="AN61" s="607"/>
      <c r="AO61" s="607"/>
      <c r="AP61" s="607"/>
      <c r="AQ61" s="759"/>
    </row>
    <row r="62" spans="1:43" ht="12.75" customHeight="1" x14ac:dyDescent="0.2">
      <c r="A62" s="1164"/>
      <c r="B62" s="691"/>
      <c r="C62" s="617" t="s">
        <v>879</v>
      </c>
      <c r="D62" s="617">
        <v>5</v>
      </c>
      <c r="E62" s="1448">
        <v>10</v>
      </c>
      <c r="F62" s="617">
        <v>15</v>
      </c>
      <c r="G62" s="617">
        <v>20</v>
      </c>
      <c r="H62" s="1449"/>
      <c r="I62" s="1865">
        <f>VaGP_Dose*AK71*AY71</f>
        <v>10</v>
      </c>
      <c r="J62" s="1866">
        <f>VaGP_Dose*AL71*AZ71</f>
        <v>63.75</v>
      </c>
      <c r="K62" s="1867">
        <f>VaGP_Dose*AM71*BA71</f>
        <v>100</v>
      </c>
      <c r="L62" s="1164"/>
      <c r="M62" s="691"/>
      <c r="N62" s="617" t="s">
        <v>879</v>
      </c>
      <c r="O62" s="617">
        <v>10</v>
      </c>
      <c r="P62" s="617">
        <v>15</v>
      </c>
      <c r="Q62" s="617">
        <v>20</v>
      </c>
      <c r="R62" s="617">
        <v>30</v>
      </c>
      <c r="S62" s="1449"/>
      <c r="T62" s="1865">
        <f>VaAS_Dose*AN72*AY72</f>
        <v>30</v>
      </c>
      <c r="U62" s="1866">
        <f>VaAS_Dose*AO72*AZ72</f>
        <v>170</v>
      </c>
      <c r="V62" s="1867">
        <f>VaAS_Dose*AP72*BA72</f>
        <v>300</v>
      </c>
      <c r="W62" s="1164"/>
      <c r="X62" s="1164"/>
      <c r="Y62" s="1498"/>
      <c r="Z62" s="1498"/>
    </row>
    <row r="63" spans="1:43" ht="5.0999999999999996" customHeight="1" x14ac:dyDescent="0.2">
      <c r="A63" s="1164"/>
      <c r="B63" s="691"/>
      <c r="C63" s="11"/>
      <c r="D63" s="1449"/>
      <c r="E63" s="1449"/>
      <c r="F63" s="1449"/>
      <c r="G63" s="1449"/>
      <c r="H63" s="1449"/>
      <c r="I63" s="1453"/>
      <c r="J63" s="1453"/>
      <c r="K63" s="715"/>
      <c r="L63" s="1164"/>
      <c r="M63" s="691"/>
      <c r="N63" s="11"/>
      <c r="O63" s="1449"/>
      <c r="P63" s="1449"/>
      <c r="Q63" s="1449"/>
      <c r="R63" s="1449"/>
      <c r="S63" s="1449"/>
      <c r="T63" s="1872"/>
      <c r="U63" s="1888"/>
      <c r="V63" s="1889"/>
      <c r="W63" s="1164"/>
      <c r="X63" s="1164"/>
      <c r="Y63" s="1498"/>
      <c r="Z63" s="1498"/>
    </row>
    <row r="64" spans="1:43" ht="12.75" customHeight="1" x14ac:dyDescent="0.2">
      <c r="A64" s="1164"/>
      <c r="B64" s="3255" t="s">
        <v>654</v>
      </c>
      <c r="C64" s="3256"/>
      <c r="D64" s="3256"/>
      <c r="E64" s="3256"/>
      <c r="F64" s="3256"/>
      <c r="G64" s="3256"/>
      <c r="H64" s="3256"/>
      <c r="I64" s="1725"/>
      <c r="J64" s="1725"/>
      <c r="K64" s="1726"/>
      <c r="L64" s="1164"/>
      <c r="M64" s="3255" t="s">
        <v>654</v>
      </c>
      <c r="N64" s="3256"/>
      <c r="O64" s="3256"/>
      <c r="P64" s="3256"/>
      <c r="Q64" s="3256"/>
      <c r="R64" s="3256"/>
      <c r="S64" s="3256"/>
      <c r="T64" s="1890"/>
      <c r="U64" s="1891"/>
      <c r="V64" s="1892"/>
      <c r="W64" s="1164"/>
      <c r="X64" s="1164"/>
      <c r="Y64" s="1498"/>
      <c r="Z64" s="1498"/>
    </row>
    <row r="65" spans="1:56" ht="12.75" customHeight="1" x14ac:dyDescent="0.2">
      <c r="A65" s="1164"/>
      <c r="B65" s="3255" t="s">
        <v>655</v>
      </c>
      <c r="C65" s="3256"/>
      <c r="D65" s="3256"/>
      <c r="E65" s="3256"/>
      <c r="F65" s="3256"/>
      <c r="G65" s="3256"/>
      <c r="H65" s="3256"/>
      <c r="I65" s="1725"/>
      <c r="J65" s="1725"/>
      <c r="K65" s="1726"/>
      <c r="L65" s="1164"/>
      <c r="M65" s="3255" t="s">
        <v>655</v>
      </c>
      <c r="N65" s="3256"/>
      <c r="O65" s="3256"/>
      <c r="P65" s="3256"/>
      <c r="Q65" s="3256"/>
      <c r="R65" s="3256"/>
      <c r="S65" s="3256"/>
      <c r="T65" s="1890"/>
      <c r="U65" s="1891"/>
      <c r="V65" s="1892"/>
      <c r="W65" s="1164"/>
      <c r="X65" s="1164"/>
      <c r="Y65" s="1498"/>
      <c r="Z65" s="1498"/>
    </row>
    <row r="66" spans="1:56" ht="12.75" customHeight="1" x14ac:dyDescent="0.2">
      <c r="A66" s="1164"/>
      <c r="B66" s="3255" t="s">
        <v>978</v>
      </c>
      <c r="C66" s="3256"/>
      <c r="D66" s="3256"/>
      <c r="E66" s="3256"/>
      <c r="F66" s="3256"/>
      <c r="G66" s="3256"/>
      <c r="H66" s="3258"/>
      <c r="I66" s="1868">
        <f>AR71-I62</f>
        <v>40</v>
      </c>
      <c r="J66" s="1869">
        <f>AS71-J62</f>
        <v>11.25</v>
      </c>
      <c r="K66" s="1870">
        <f>AT71-K62</f>
        <v>0</v>
      </c>
      <c r="L66" s="1164"/>
      <c r="M66" s="3255" t="s">
        <v>978</v>
      </c>
      <c r="N66" s="3256"/>
      <c r="O66" s="3256"/>
      <c r="P66" s="3256"/>
      <c r="Q66" s="3256"/>
      <c r="R66" s="3256"/>
      <c r="S66" s="3258"/>
      <c r="T66" s="1868">
        <f>AU72-T62</f>
        <v>120</v>
      </c>
      <c r="U66" s="1869">
        <f>AV72-U62</f>
        <v>30</v>
      </c>
      <c r="V66" s="1870">
        <f>AW72-V62</f>
        <v>0</v>
      </c>
      <c r="W66" s="1164"/>
      <c r="X66" s="1164"/>
      <c r="Y66" s="1498"/>
      <c r="Z66" s="1498"/>
    </row>
    <row r="67" spans="1:56" ht="5.0999999999999996" customHeight="1" x14ac:dyDescent="0.2">
      <c r="A67" s="1164"/>
      <c r="B67" s="691"/>
      <c r="C67" s="1453"/>
      <c r="D67" s="1453"/>
      <c r="E67" s="1453"/>
      <c r="F67" s="1453"/>
      <c r="G67" s="1453"/>
      <c r="H67" s="1453"/>
      <c r="I67" s="1453"/>
      <c r="J67" s="2933"/>
      <c r="K67" s="2942"/>
      <c r="L67" s="1164"/>
      <c r="M67" s="691"/>
      <c r="N67" s="1453"/>
      <c r="O67" s="1453"/>
      <c r="P67" s="1453"/>
      <c r="Q67" s="1453"/>
      <c r="R67" s="1453"/>
      <c r="S67" s="1453"/>
      <c r="T67" s="1872"/>
      <c r="U67" s="1881"/>
      <c r="V67" s="1880"/>
      <c r="W67" s="1164"/>
      <c r="X67" s="1164"/>
      <c r="Y67" s="1498"/>
      <c r="Z67" s="1498"/>
    </row>
    <row r="68" spans="1:56" x14ac:dyDescent="0.2">
      <c r="A68" s="1164"/>
      <c r="B68" s="1458"/>
      <c r="C68" s="3257" t="s">
        <v>884</v>
      </c>
      <c r="D68" s="3257"/>
      <c r="E68" s="3257"/>
      <c r="F68" s="3257"/>
      <c r="G68" s="3257"/>
      <c r="H68" s="1455"/>
      <c r="I68" s="1874" t="s">
        <v>625</v>
      </c>
      <c r="J68" s="1872"/>
      <c r="K68" s="2939"/>
      <c r="L68" s="1164"/>
      <c r="M68" s="1458"/>
      <c r="N68" s="3253" t="s">
        <v>2418</v>
      </c>
      <c r="O68" s="3253"/>
      <c r="P68" s="3253"/>
      <c r="Q68" s="3253"/>
      <c r="R68" s="3253"/>
      <c r="S68" s="1455"/>
      <c r="T68" s="1874" t="s">
        <v>625</v>
      </c>
      <c r="U68" s="1881"/>
      <c r="V68" s="1880"/>
      <c r="W68" s="1164"/>
      <c r="X68" s="1164"/>
      <c r="Y68" s="1498"/>
      <c r="Z68" s="1498"/>
      <c r="AF68" s="630"/>
      <c r="AG68" s="3259" t="s">
        <v>653</v>
      </c>
      <c r="AH68" s="3259"/>
      <c r="AI68" s="3259"/>
      <c r="AJ68" s="630"/>
      <c r="AK68" s="3260" t="s">
        <v>661</v>
      </c>
      <c r="AL68" s="3261"/>
      <c r="AM68" s="3261"/>
      <c r="AN68" s="3261"/>
      <c r="AO68" s="3261"/>
      <c r="AP68" s="3262"/>
      <c r="AQ68" s="630"/>
      <c r="AR68" s="3260" t="s">
        <v>662</v>
      </c>
      <c r="AS68" s="3261"/>
      <c r="AT68" s="3261"/>
      <c r="AU68" s="3261"/>
      <c r="AV68" s="3261"/>
      <c r="AW68" s="3262"/>
      <c r="AX68" s="630"/>
      <c r="AY68" s="3260" t="s">
        <v>1907</v>
      </c>
      <c r="AZ68" s="3261"/>
      <c r="BA68" s="3262"/>
    </row>
    <row r="69" spans="1:56" x14ac:dyDescent="0.2">
      <c r="A69" s="1164"/>
      <c r="B69" s="1458"/>
      <c r="C69" s="3223" t="s">
        <v>186</v>
      </c>
      <c r="D69" s="3223"/>
      <c r="E69" s="3223"/>
      <c r="F69" s="3223"/>
      <c r="G69" s="3223"/>
      <c r="H69" s="1455"/>
      <c r="I69" s="1871" t="e">
        <f ca="1">I38-I62</f>
        <v>#N/A</v>
      </c>
      <c r="J69" s="1460"/>
      <c r="K69" s="1169"/>
      <c r="L69" s="1164"/>
      <c r="M69" s="1458"/>
      <c r="N69" s="3253"/>
      <c r="O69" s="3253"/>
      <c r="P69" s="3253"/>
      <c r="Q69" s="3253"/>
      <c r="R69" s="3253"/>
      <c r="S69" s="1455"/>
      <c r="T69" s="1871">
        <f ca="1">T38-T62</f>
        <v>-199.97996483818042</v>
      </c>
      <c r="U69" s="1881"/>
      <c r="V69" s="1880"/>
      <c r="W69" s="1164"/>
      <c r="X69" s="1164"/>
      <c r="Y69" s="1498"/>
      <c r="Z69" s="1498"/>
      <c r="AF69" s="630">
        <v>1</v>
      </c>
      <c r="AG69" s="630">
        <v>2</v>
      </c>
      <c r="AH69" s="630">
        <v>3</v>
      </c>
      <c r="AI69" s="630">
        <v>4</v>
      </c>
      <c r="AJ69" s="630">
        <v>5</v>
      </c>
      <c r="AK69" s="630">
        <v>6</v>
      </c>
      <c r="AL69" s="630">
        <v>7</v>
      </c>
      <c r="AM69" s="630">
        <v>8</v>
      </c>
      <c r="AN69" s="630">
        <v>9</v>
      </c>
      <c r="AO69" s="630">
        <v>10</v>
      </c>
      <c r="AP69" s="630">
        <v>11</v>
      </c>
      <c r="AQ69" s="630">
        <v>12</v>
      </c>
      <c r="AR69" s="630">
        <v>13</v>
      </c>
      <c r="AS69" s="630">
        <v>14</v>
      </c>
      <c r="AT69" s="630">
        <v>15</v>
      </c>
      <c r="AU69" s="630">
        <v>16</v>
      </c>
      <c r="AV69" s="630">
        <v>17</v>
      </c>
      <c r="AW69" s="630">
        <v>18</v>
      </c>
      <c r="AX69" s="630">
        <v>19</v>
      </c>
      <c r="AY69" s="630">
        <v>20</v>
      </c>
      <c r="AZ69" s="630">
        <v>21</v>
      </c>
      <c r="BA69" s="630">
        <v>22</v>
      </c>
    </row>
    <row r="70" spans="1:56" x14ac:dyDescent="0.2">
      <c r="A70" s="1164"/>
      <c r="B70" s="1458"/>
      <c r="C70" s="3212" t="s">
        <v>582</v>
      </c>
      <c r="D70" s="3212"/>
      <c r="E70" s="3212"/>
      <c r="F70" s="3212"/>
      <c r="G70" s="3212"/>
      <c r="H70" s="2940"/>
      <c r="I70" s="2940"/>
      <c r="J70" s="2940"/>
      <c r="K70" s="2941"/>
      <c r="L70" s="1164"/>
      <c r="M70" s="1458"/>
      <c r="N70" s="3210" t="str">
        <f ca="1">IF(T69&gt;=-20,"","Azote en excédent")</f>
        <v>Azote en excédent</v>
      </c>
      <c r="O70" s="3210"/>
      <c r="P70" s="3210"/>
      <c r="Q70" s="3210"/>
      <c r="R70" s="3210"/>
      <c r="S70" s="1455"/>
      <c r="T70" s="1463"/>
      <c r="U70" s="1881"/>
      <c r="V70" s="1880"/>
      <c r="W70" s="1164"/>
      <c r="X70" s="1164"/>
      <c r="Y70" s="1498"/>
      <c r="Z70" s="1498"/>
      <c r="AA70" t="s">
        <v>663</v>
      </c>
      <c r="AG70" s="804" t="s">
        <v>625</v>
      </c>
      <c r="AH70" s="804" t="s">
        <v>187</v>
      </c>
      <c r="AI70" s="804" t="s">
        <v>665</v>
      </c>
      <c r="AJ70" s="630"/>
      <c r="AK70" s="3260" t="s">
        <v>663</v>
      </c>
      <c r="AL70" s="3261"/>
      <c r="AM70" s="3262"/>
      <c r="AN70" s="3260" t="s">
        <v>664</v>
      </c>
      <c r="AO70" s="3261"/>
      <c r="AP70" s="3262"/>
      <c r="AQ70" s="630"/>
      <c r="AR70" s="3260" t="s">
        <v>663</v>
      </c>
      <c r="AS70" s="3261"/>
      <c r="AT70" s="3262"/>
      <c r="AU70" s="3260" t="s">
        <v>664</v>
      </c>
      <c r="AV70" s="3261"/>
      <c r="AW70" s="3262"/>
      <c r="AX70" s="630"/>
      <c r="AY70" s="804" t="s">
        <v>625</v>
      </c>
      <c r="AZ70" s="804" t="s">
        <v>187</v>
      </c>
      <c r="BA70" s="804" t="s">
        <v>665</v>
      </c>
    </row>
    <row r="71" spans="1:56" x14ac:dyDescent="0.2">
      <c r="A71" s="1164"/>
      <c r="B71" s="1458"/>
      <c r="C71" s="3212" t="s">
        <v>583</v>
      </c>
      <c r="D71" s="3212"/>
      <c r="E71" s="3212"/>
      <c r="F71" s="3212"/>
      <c r="G71" s="3212"/>
      <c r="H71" s="2940"/>
      <c r="I71" s="2940"/>
      <c r="J71" s="2940"/>
      <c r="K71" s="2941"/>
      <c r="L71" s="1164"/>
      <c r="M71" s="1458"/>
      <c r="N71" s="3210"/>
      <c r="O71" s="3210"/>
      <c r="P71" s="3210"/>
      <c r="Q71" s="3210"/>
      <c r="R71" s="3210"/>
      <c r="S71" s="1455"/>
      <c r="T71" s="1463"/>
      <c r="U71" s="1881"/>
      <c r="V71" s="2938"/>
      <c r="W71" s="1164"/>
      <c r="X71" s="1164"/>
      <c r="Y71" s="1498"/>
      <c r="Z71" s="1498"/>
      <c r="AA71" s="17" t="str">
        <f>IF(OR(VaGP_FOrg=AA$43,VaGP_FOrg=AA$44),AB71,IF(VaGP_FOrg=AA$45,AC71,IF(VaGP_FOrg=AA$46,AD71,IF(VaGP_FOrg=AA$47,AE71,""))))</f>
        <v>bovins</v>
      </c>
      <c r="AB71" s="630" t="s">
        <v>879</v>
      </c>
      <c r="AC71" s="630" t="s">
        <v>879</v>
      </c>
      <c r="AD71" t="s">
        <v>718</v>
      </c>
      <c r="AE71" s="1442" t="s">
        <v>2372</v>
      </c>
      <c r="AF71" s="845" t="str">
        <f>VaGP_FOrg&amp;C62</f>
        <v>Fumierbovins</v>
      </c>
      <c r="AG71" s="17">
        <f>VLOOKUP($AF$71,$AF$74:$BA$87,AG$69,FALSE)</f>
        <v>5</v>
      </c>
      <c r="AH71" s="17">
        <f>VLOOKUP($AF$71,$AF$74:$BA$87,AH$69,FALSE)</f>
        <v>2.5</v>
      </c>
      <c r="AI71" s="17">
        <f>VLOOKUP($AF$71,$AF$74:$BA$87,AI$69,FALSE)</f>
        <v>8</v>
      </c>
      <c r="AK71" s="17">
        <f t="shared" ref="AK71:AP71" si="0">VLOOKUP($AF$71,$AF$74:$BA$87,AK$69,FALSE)</f>
        <v>10</v>
      </c>
      <c r="AL71" s="17">
        <f t="shared" si="0"/>
        <v>15</v>
      </c>
      <c r="AM71" s="17">
        <f t="shared" si="0"/>
        <v>20</v>
      </c>
      <c r="AN71" s="17">
        <f t="shared" si="0"/>
        <v>15</v>
      </c>
      <c r="AO71" s="17">
        <f t="shared" si="0"/>
        <v>20</v>
      </c>
      <c r="AP71" s="17">
        <f t="shared" si="0"/>
        <v>30</v>
      </c>
      <c r="AR71" s="712">
        <f t="shared" ref="AR71:AW71" si="1">VLOOKUP($AF$71,$AF$74:$BA$87,AR$69,FALSE)</f>
        <v>50</v>
      </c>
      <c r="AS71" s="712">
        <f t="shared" si="1"/>
        <v>75</v>
      </c>
      <c r="AT71" s="712">
        <f t="shared" si="1"/>
        <v>100</v>
      </c>
      <c r="AU71" s="712">
        <f t="shared" si="1"/>
        <v>150</v>
      </c>
      <c r="AV71" s="712">
        <f t="shared" si="1"/>
        <v>200</v>
      </c>
      <c r="AW71" s="712">
        <f t="shared" si="1"/>
        <v>300</v>
      </c>
      <c r="AX71" s="576"/>
      <c r="AY71" s="1615">
        <f>VLOOKUP($AF$71,$AF$74:$BA$87,AY$69,FALSE)</f>
        <v>0.2</v>
      </c>
      <c r="AZ71" s="712">
        <f>VLOOKUP($AF$71,$AF$74:$BA$87,AZ$69,FALSE)</f>
        <v>0.85</v>
      </c>
      <c r="BA71" s="712">
        <f>VLOOKUP($AF$71,$AF$74:$BA$87,BA$69,FALSE)</f>
        <v>1</v>
      </c>
      <c r="BC71" s="17">
        <f>VLOOKUP(VaGP_FOrg,$AA$43:$AK$47,11,FALSE)</f>
        <v>1</v>
      </c>
      <c r="BD71" s="630" t="s">
        <v>663</v>
      </c>
    </row>
    <row r="72" spans="1:56" x14ac:dyDescent="0.2">
      <c r="A72" s="1164"/>
      <c r="B72" s="1458"/>
      <c r="C72" s="3212" t="s">
        <v>584</v>
      </c>
      <c r="D72" s="3212"/>
      <c r="E72" s="3212"/>
      <c r="F72" s="3212"/>
      <c r="G72" s="3212"/>
      <c r="H72" s="2940"/>
      <c r="I72" s="2940"/>
      <c r="J72" s="1874" t="s">
        <v>187</v>
      </c>
      <c r="K72" s="2941"/>
      <c r="L72" s="1164"/>
      <c r="M72" s="1458"/>
      <c r="N72" s="1454" t="s">
        <v>884</v>
      </c>
      <c r="O72" s="1454"/>
      <c r="P72" s="1454"/>
      <c r="Q72" s="1454"/>
      <c r="R72" s="1454"/>
      <c r="S72" s="1455"/>
      <c r="T72" s="1463"/>
      <c r="U72" s="1874" t="s">
        <v>187</v>
      </c>
      <c r="V72" s="2939"/>
      <c r="W72" s="1164"/>
      <c r="X72" s="1164"/>
      <c r="Y72" s="1498"/>
      <c r="Z72" s="1498"/>
      <c r="AA72" s="17" t="str">
        <f>IF(OR(VaGP_FOrg=AA$43,VaGP_FOrg=AA$44),AB72,IF(VaGP_FOrg=AA$45,AC72,IF(VaGP_FOrg=AA$46,AD72,IF(VaGP_FOrg=AA$47,AE72,""))))</f>
        <v>porcins: paille</v>
      </c>
      <c r="AB72" s="630" t="s">
        <v>880</v>
      </c>
      <c r="AC72" s="630" t="s">
        <v>882</v>
      </c>
      <c r="AD72" s="1442" t="s">
        <v>878</v>
      </c>
      <c r="AE72" s="1442" t="s">
        <v>2373</v>
      </c>
      <c r="AF72" s="845" t="str">
        <f>VaAS_FOrg&amp;N62</f>
        <v>Fumierbovins</v>
      </c>
      <c r="AG72" s="17">
        <f>VLOOKUP($AF$72,$AF$74:$BA$87,AG$69,FALSE)</f>
        <v>5</v>
      </c>
      <c r="AH72" s="17">
        <f>VLOOKUP($AF$72,$AF$74:$BA$87,AH$69,FALSE)</f>
        <v>2.5</v>
      </c>
      <c r="AI72" s="17">
        <f>VLOOKUP($AF$72,$AF$74:$BA$87,AI$69,FALSE)</f>
        <v>8</v>
      </c>
      <c r="AK72" s="17">
        <f t="shared" ref="AK72:AP72" si="2">VLOOKUP($AF$72,$AF$74:$BA$87,AK$69,FALSE)</f>
        <v>10</v>
      </c>
      <c r="AL72" s="17">
        <f t="shared" si="2"/>
        <v>15</v>
      </c>
      <c r="AM72" s="17">
        <f t="shared" si="2"/>
        <v>20</v>
      </c>
      <c r="AN72" s="17">
        <f t="shared" si="2"/>
        <v>15</v>
      </c>
      <c r="AO72" s="17">
        <f t="shared" si="2"/>
        <v>20</v>
      </c>
      <c r="AP72" s="17">
        <f t="shared" si="2"/>
        <v>30</v>
      </c>
      <c r="AR72" s="712">
        <f t="shared" ref="AR72:AW72" si="3">VLOOKUP($AF$72,$AF$74:$BA$87,AR$69,FALSE)</f>
        <v>50</v>
      </c>
      <c r="AS72" s="712">
        <f t="shared" si="3"/>
        <v>75</v>
      </c>
      <c r="AT72" s="712">
        <f t="shared" si="3"/>
        <v>100</v>
      </c>
      <c r="AU72" s="712">
        <f t="shared" si="3"/>
        <v>150</v>
      </c>
      <c r="AV72" s="712">
        <f t="shared" si="3"/>
        <v>200</v>
      </c>
      <c r="AW72" s="712">
        <f t="shared" si="3"/>
        <v>300</v>
      </c>
      <c r="AX72" s="576"/>
      <c r="AY72" s="1615">
        <f>VLOOKUP($AF$72,$AF$74:$BA$87,AY$69,FALSE)</f>
        <v>0.2</v>
      </c>
      <c r="AZ72" s="712">
        <f>VLOOKUP($AF$72,$AF$74:$BA$87,AZ$69,FALSE)</f>
        <v>0.85</v>
      </c>
      <c r="BA72" s="712">
        <f>VLOOKUP($AF$72,$AF$74:$BA$87,BA$69,FALSE)</f>
        <v>1</v>
      </c>
      <c r="BC72" s="17">
        <f>VLOOKUP(VaAS_FOrg,$AA$43:$AK$47,11,FALSE)</f>
        <v>1</v>
      </c>
      <c r="BD72" s="630" t="s">
        <v>664</v>
      </c>
    </row>
    <row r="73" spans="1:56" x14ac:dyDescent="0.2">
      <c r="A73" s="1164"/>
      <c r="B73" s="1458"/>
      <c r="C73" s="1455" t="s">
        <v>666</v>
      </c>
      <c r="D73" s="1455"/>
      <c r="E73" s="1455"/>
      <c r="F73" s="1455"/>
      <c r="G73" s="1455"/>
      <c r="H73" s="1455"/>
      <c r="I73" s="1460"/>
      <c r="J73" s="1871" t="e">
        <f>ABS(AR94)</f>
        <v>#N/A</v>
      </c>
      <c r="K73" s="1461"/>
      <c r="L73" s="1164"/>
      <c r="M73" s="1458"/>
      <c r="N73" s="1455" t="s">
        <v>666</v>
      </c>
      <c r="O73" s="1455"/>
      <c r="P73" s="1455"/>
      <c r="Q73" s="1455"/>
      <c r="R73" s="1455"/>
      <c r="S73" s="1455"/>
      <c r="T73" s="1463"/>
      <c r="U73" s="1871">
        <f>ABS(BC94)</f>
        <v>140.93771580255017</v>
      </c>
      <c r="V73" s="1880"/>
      <c r="W73" s="1164"/>
      <c r="X73" s="1164"/>
      <c r="Y73" s="1498"/>
      <c r="Z73" s="1498"/>
      <c r="AA73" s="17" t="str">
        <f>IF(OR(VaGP_FOrg=AA$43,VaGP_FOrg=AA$44),AB73,IF(VaGP_FOrg=AA$45,AC73,IF(VaGP_FOrg=AA$46,AD73,IF(VaGP_FOrg=AA$47,AE73,""))))</f>
        <v>porcins: sciure/copeaux</v>
      </c>
      <c r="AB73" s="630" t="s">
        <v>881</v>
      </c>
      <c r="AC73" s="630" t="s">
        <v>883</v>
      </c>
      <c r="AD73" s="1442" t="s">
        <v>1468</v>
      </c>
      <c r="AE73" s="1442" t="s">
        <v>2374</v>
      </c>
    </row>
    <row r="74" spans="1:56" x14ac:dyDescent="0.2">
      <c r="A74" s="1164"/>
      <c r="B74" s="1458"/>
      <c r="C74" s="1457" t="str">
        <f>IF(ISERROR(AR$94),"...",IF(AR$94&lt;-10,AF95,IF(AR$94&gt;10,AT95,IF(AND(AR$94&gt;=-10,AR$94&lt;=10),AJ95,""))))</f>
        <v>...</v>
      </c>
      <c r="D74" s="1175"/>
      <c r="E74" s="1175"/>
      <c r="F74" s="1175"/>
      <c r="G74" s="1175"/>
      <c r="H74" s="1455"/>
      <c r="I74" s="1460"/>
      <c r="J74" s="1460"/>
      <c r="K74" s="1461"/>
      <c r="L74" s="1164"/>
      <c r="M74" s="1458"/>
      <c r="N74" s="1457" t="str">
        <f>IF(ISERROR(BC$94),"...",IF(BC$94&lt;-10,AF95,IF(BC$94&gt;10,AT95,IF(OR(BC$94&gt;=-10,BC$94&lt;=10),AJ95,""))))</f>
        <v>Vous êtes en excédent de phosphore</v>
      </c>
      <c r="O74" s="1175"/>
      <c r="P74" s="1175"/>
      <c r="Q74" s="1175"/>
      <c r="R74" s="1175"/>
      <c r="S74" s="1455"/>
      <c r="T74" s="1463"/>
      <c r="U74" s="1881"/>
      <c r="V74" s="1880"/>
      <c r="W74" s="1164"/>
      <c r="X74" s="1164"/>
      <c r="Y74" s="1498"/>
      <c r="Z74" s="1498"/>
      <c r="AF74" s="17" t="str">
        <f>AA43&amp;AB71</f>
        <v>Fumierbovins</v>
      </c>
      <c r="AG74" s="805">
        <f>Paramètres!AJ38</f>
        <v>5</v>
      </c>
      <c r="AH74" s="805">
        <f>Paramètres!AK38</f>
        <v>2.5</v>
      </c>
      <c r="AI74" s="805">
        <f>Paramètres!AL38</f>
        <v>8</v>
      </c>
      <c r="AK74" s="17">
        <f>IF(ISBLANK(VaGP_N),AG74,VaGP_N)</f>
        <v>10</v>
      </c>
      <c r="AL74" s="17">
        <f t="shared" ref="AL74:AL87" si="4">IF(ISBLANK(VaGP_P2O5),AH74,VaGP_P2O5)</f>
        <v>15</v>
      </c>
      <c r="AM74" s="17">
        <f t="shared" ref="AM74:AM87" si="5">IF(ISBLANK(VaGP_K2O),AI74,VaGP_K2O)</f>
        <v>20</v>
      </c>
      <c r="AN74" s="17">
        <f t="shared" ref="AN74:AN87" si="6">IF(ISBLANK(VaAS_N),AG74,VaAS_N)</f>
        <v>15</v>
      </c>
      <c r="AO74" s="17">
        <f t="shared" ref="AO74:AO87" si="7">IF(ISBLANK(VaAS_P2O5),AH74,VaAS_P2O5)</f>
        <v>20</v>
      </c>
      <c r="AP74" s="17">
        <f t="shared" ref="AP74:AP87" si="8">IF(ISBLANK(VaAS_K2O),AI74,VaAS_K2O)</f>
        <v>30</v>
      </c>
      <c r="AR74" s="846">
        <f t="shared" ref="AR74:AR87" si="9">VaGP_Dose*AK74</f>
        <v>50</v>
      </c>
      <c r="AS74" s="847">
        <f t="shared" ref="AS74:AS87" si="10">VaGP_Dose*AL74</f>
        <v>75</v>
      </c>
      <c r="AT74" s="848">
        <f t="shared" ref="AT74:AT87" si="11">VaGP_Dose*AM74</f>
        <v>100</v>
      </c>
      <c r="AU74" s="846">
        <f t="shared" ref="AU74:AU87" si="12">VaAS_Dose*AN74</f>
        <v>150</v>
      </c>
      <c r="AV74" s="847">
        <f t="shared" ref="AV74:AV87" si="13">VaAS_Dose*AO74</f>
        <v>200</v>
      </c>
      <c r="AW74" s="848">
        <f t="shared" ref="AW74:AW87" si="14">VaAS_Dose*AP74</f>
        <v>300</v>
      </c>
      <c r="AX74" s="576"/>
      <c r="AY74" s="849">
        <f>Paramètres!AJ55</f>
        <v>0.2</v>
      </c>
      <c r="AZ74" s="849">
        <f>Paramètres!AK55</f>
        <v>0.85</v>
      </c>
      <c r="BA74" s="849">
        <f>Paramètres!AL55</f>
        <v>1</v>
      </c>
    </row>
    <row r="75" spans="1:56" x14ac:dyDescent="0.2">
      <c r="A75" s="1164"/>
      <c r="B75" s="1458"/>
      <c r="C75" s="1457" t="str">
        <f t="shared" ref="C75:C80" si="15">IF(ISERROR(AR$94),"...",IF(AR$94&lt;-10,AF96,IF(AR$94&gt;10,AT96,"")))</f>
        <v>...</v>
      </c>
      <c r="D75" s="1175"/>
      <c r="E75" s="1175"/>
      <c r="F75" s="1175"/>
      <c r="G75" s="1175"/>
      <c r="H75" s="1455"/>
      <c r="I75" s="1460"/>
      <c r="J75" s="1460"/>
      <c r="K75" s="1461"/>
      <c r="L75" s="1164"/>
      <c r="M75" s="1458"/>
      <c r="N75" s="1457" t="str">
        <f t="shared" ref="N75:N80" si="16">IF(ISERROR(BC$94),"...",IF(BC$94&lt;-10,AF96,IF(BC$94&gt;10,AT96,"")))</f>
        <v>Ne pas apporter de complément phosphoré; diminuer les quantités épandues</v>
      </c>
      <c r="O75" s="1175"/>
      <c r="P75" s="1175"/>
      <c r="Q75" s="1175"/>
      <c r="R75" s="1175"/>
      <c r="S75" s="1455"/>
      <c r="T75" s="1463"/>
      <c r="U75" s="1881"/>
      <c r="V75" s="1880"/>
      <c r="W75" s="1164"/>
      <c r="X75" s="1164"/>
      <c r="Y75" s="1498"/>
      <c r="Z75" s="1498"/>
      <c r="AF75" s="17" t="str">
        <f>AA43&amp;AB72</f>
        <v>Fumierporcins: paille</v>
      </c>
      <c r="AG75" s="805">
        <f>Paramètres!AJ39</f>
        <v>9</v>
      </c>
      <c r="AH75" s="805">
        <f>Paramètres!AK39</f>
        <v>8</v>
      </c>
      <c r="AI75" s="805">
        <f>Paramètres!AL39</f>
        <v>14</v>
      </c>
      <c r="AK75" s="17">
        <f t="shared" ref="AK75:AK87" si="17">IF(ISBLANK(VaGP_N),AG75,VaGP_N)</f>
        <v>10</v>
      </c>
      <c r="AL75" s="17">
        <f t="shared" si="4"/>
        <v>15</v>
      </c>
      <c r="AM75" s="17">
        <f t="shared" si="5"/>
        <v>20</v>
      </c>
      <c r="AN75" s="17">
        <f t="shared" si="6"/>
        <v>15</v>
      </c>
      <c r="AO75" s="17">
        <f t="shared" si="7"/>
        <v>20</v>
      </c>
      <c r="AP75" s="17">
        <f t="shared" si="8"/>
        <v>30</v>
      </c>
      <c r="AR75" s="846">
        <f t="shared" si="9"/>
        <v>50</v>
      </c>
      <c r="AS75" s="847">
        <f t="shared" si="10"/>
        <v>75</v>
      </c>
      <c r="AT75" s="848">
        <f t="shared" si="11"/>
        <v>100</v>
      </c>
      <c r="AU75" s="846">
        <f t="shared" si="12"/>
        <v>150</v>
      </c>
      <c r="AV75" s="847">
        <f t="shared" si="13"/>
        <v>200</v>
      </c>
      <c r="AW75" s="848">
        <f t="shared" si="14"/>
        <v>300</v>
      </c>
      <c r="AX75" s="576"/>
      <c r="AY75" s="849">
        <f>Paramètres!AJ56</f>
        <v>0.3</v>
      </c>
      <c r="AZ75" s="849">
        <f>Paramètres!AK56</f>
        <v>0.85</v>
      </c>
      <c r="BA75" s="849">
        <f>Paramètres!AL56</f>
        <v>1</v>
      </c>
    </row>
    <row r="76" spans="1:56" x14ac:dyDescent="0.2">
      <c r="A76" s="1164"/>
      <c r="B76" s="1458"/>
      <c r="C76" s="1457" t="str">
        <f t="shared" si="15"/>
        <v>...</v>
      </c>
      <c r="D76" s="1175"/>
      <c r="E76" s="1175"/>
      <c r="F76" s="1175"/>
      <c r="G76" s="1175"/>
      <c r="H76" s="1455"/>
      <c r="I76" s="1460"/>
      <c r="J76" s="1460"/>
      <c r="K76" s="1461"/>
      <c r="L76" s="1164"/>
      <c r="M76" s="1458"/>
      <c r="N76" s="1457" t="str">
        <f t="shared" si="16"/>
        <v xml:space="preserve"> </v>
      </c>
      <c r="O76" s="1175"/>
      <c r="P76" s="1175"/>
      <c r="Q76" s="1175"/>
      <c r="R76" s="1175"/>
      <c r="S76" s="1455"/>
      <c r="T76" s="1463"/>
      <c r="U76" s="1881"/>
      <c r="V76" s="1880"/>
      <c r="W76" s="1164"/>
      <c r="X76" s="1164"/>
      <c r="Y76" s="1498"/>
      <c r="Z76" s="1498"/>
      <c r="AA76" t="s">
        <v>664</v>
      </c>
      <c r="AF76" s="17" t="str">
        <f>AA43&amp;AB73</f>
        <v>Fumierporcins: sciure/copeaux</v>
      </c>
      <c r="AG76" s="805">
        <f>Paramètres!AJ40</f>
        <v>7</v>
      </c>
      <c r="AH76" s="805">
        <f>Paramètres!AK40</f>
        <v>9</v>
      </c>
      <c r="AI76" s="805">
        <f>Paramètres!AL40</f>
        <v>13</v>
      </c>
      <c r="AK76" s="17">
        <f t="shared" si="17"/>
        <v>10</v>
      </c>
      <c r="AL76" s="17">
        <f t="shared" si="4"/>
        <v>15</v>
      </c>
      <c r="AM76" s="17">
        <f t="shared" si="5"/>
        <v>20</v>
      </c>
      <c r="AN76" s="17">
        <f t="shared" si="6"/>
        <v>15</v>
      </c>
      <c r="AO76" s="17">
        <f t="shared" si="7"/>
        <v>20</v>
      </c>
      <c r="AP76" s="17">
        <f t="shared" si="8"/>
        <v>30</v>
      </c>
      <c r="AR76" s="846">
        <f t="shared" si="9"/>
        <v>50</v>
      </c>
      <c r="AS76" s="847">
        <f t="shared" si="10"/>
        <v>75</v>
      </c>
      <c r="AT76" s="848">
        <f t="shared" si="11"/>
        <v>100</v>
      </c>
      <c r="AU76" s="846">
        <f t="shared" si="12"/>
        <v>150</v>
      </c>
      <c r="AV76" s="847">
        <f t="shared" si="13"/>
        <v>200</v>
      </c>
      <c r="AW76" s="848">
        <f t="shared" si="14"/>
        <v>300</v>
      </c>
      <c r="AX76" s="576"/>
      <c r="AY76" s="849">
        <f>Paramètres!AJ57</f>
        <v>0.3</v>
      </c>
      <c r="AZ76" s="849">
        <f>Paramètres!AK57</f>
        <v>0.85</v>
      </c>
      <c r="BA76" s="849">
        <f>Paramètres!AL57</f>
        <v>1</v>
      </c>
    </row>
    <row r="77" spans="1:56" x14ac:dyDescent="0.2">
      <c r="A77" s="1164"/>
      <c r="B77" s="1458"/>
      <c r="C77" s="1457" t="str">
        <f t="shared" si="15"/>
        <v>...</v>
      </c>
      <c r="D77" s="1175"/>
      <c r="E77" s="1175"/>
      <c r="F77" s="1175"/>
      <c r="G77" s="1175"/>
      <c r="H77" s="1455"/>
      <c r="I77" s="1460"/>
      <c r="J77" s="1460"/>
      <c r="K77" s="1461"/>
      <c r="L77" s="1164"/>
      <c r="M77" s="1458"/>
      <c r="N77" s="1457" t="str">
        <f t="shared" si="16"/>
        <v xml:space="preserve"> </v>
      </c>
      <c r="O77" s="1175"/>
      <c r="P77" s="1175"/>
      <c r="Q77" s="1175"/>
      <c r="R77" s="1175"/>
      <c r="S77" s="1455"/>
      <c r="T77" s="1463"/>
      <c r="U77" s="1881"/>
      <c r="V77" s="1880"/>
      <c r="W77" s="1164"/>
      <c r="X77" s="1164"/>
      <c r="Y77" s="1498"/>
      <c r="Z77" s="1498"/>
      <c r="AA77" s="17" t="str">
        <f>IF(OR(VaAS_FOrg=AA$43,VaAS_FOrg=AA$44),AB77,IF(VaAS_FOrg=AA$45,AC77,IF(VaAS_FOrg=AA$46,AD77,IF(VaAS_FOrg=AA$47,AE77,""))))</f>
        <v>bovins</v>
      </c>
      <c r="AB77" s="630" t="s">
        <v>879</v>
      </c>
      <c r="AC77" s="630" t="s">
        <v>879</v>
      </c>
      <c r="AD77" t="s">
        <v>718</v>
      </c>
      <c r="AE77" s="1442" t="s">
        <v>2372</v>
      </c>
      <c r="AF77" s="17" t="str">
        <f>AA44&amp;AB71</f>
        <v>Compostbovins</v>
      </c>
      <c r="AG77" s="805">
        <f>Paramètres!AJ41</f>
        <v>8</v>
      </c>
      <c r="AH77" s="805">
        <f>Paramètres!AK41</f>
        <v>5</v>
      </c>
      <c r="AI77" s="805">
        <f>Paramètres!AL41</f>
        <v>14</v>
      </c>
      <c r="AK77" s="17">
        <f t="shared" si="17"/>
        <v>10</v>
      </c>
      <c r="AL77" s="17">
        <f t="shared" si="4"/>
        <v>15</v>
      </c>
      <c r="AM77" s="17">
        <f t="shared" si="5"/>
        <v>20</v>
      </c>
      <c r="AN77" s="17">
        <f t="shared" si="6"/>
        <v>15</v>
      </c>
      <c r="AO77" s="17">
        <f t="shared" si="7"/>
        <v>20</v>
      </c>
      <c r="AP77" s="17">
        <f t="shared" si="8"/>
        <v>30</v>
      </c>
      <c r="AR77" s="846">
        <f t="shared" si="9"/>
        <v>50</v>
      </c>
      <c r="AS77" s="847">
        <f t="shared" si="10"/>
        <v>75</v>
      </c>
      <c r="AT77" s="848">
        <f t="shared" si="11"/>
        <v>100</v>
      </c>
      <c r="AU77" s="846">
        <f t="shared" si="12"/>
        <v>150</v>
      </c>
      <c r="AV77" s="847">
        <f t="shared" si="13"/>
        <v>200</v>
      </c>
      <c r="AW77" s="848">
        <f t="shared" si="14"/>
        <v>300</v>
      </c>
      <c r="AX77" s="576"/>
      <c r="AY77" s="849">
        <f>Paramètres!AJ58</f>
        <v>0.15</v>
      </c>
      <c r="AZ77" s="849">
        <f>Paramètres!AK58</f>
        <v>0.85</v>
      </c>
      <c r="BA77" s="849">
        <f>Paramètres!AL58</f>
        <v>1</v>
      </c>
    </row>
    <row r="78" spans="1:56" x14ac:dyDescent="0.2">
      <c r="A78" s="1164"/>
      <c r="B78" s="1458"/>
      <c r="C78" s="1457" t="str">
        <f t="shared" si="15"/>
        <v>...</v>
      </c>
      <c r="D78" s="1175"/>
      <c r="E78" s="1175"/>
      <c r="F78" s="1175"/>
      <c r="G78" s="1175"/>
      <c r="H78" s="1455"/>
      <c r="I78" s="1460"/>
      <c r="J78" s="1460"/>
      <c r="K78" s="1461"/>
      <c r="L78" s="1164"/>
      <c r="M78" s="1458"/>
      <c r="N78" s="1457" t="str">
        <f t="shared" si="16"/>
        <v xml:space="preserve"> </v>
      </c>
      <c r="O78" s="1175"/>
      <c r="P78" s="1175"/>
      <c r="Q78" s="1175"/>
      <c r="R78" s="1175"/>
      <c r="S78" s="1455"/>
      <c r="T78" s="1463"/>
      <c r="U78" s="1881"/>
      <c r="V78" s="1880"/>
      <c r="W78" s="1164"/>
      <c r="X78" s="1164"/>
      <c r="Y78" s="1498"/>
      <c r="Z78" s="1498"/>
      <c r="AA78" s="17" t="str">
        <f>IF(OR(VaAS_FOrg=AA$43,VaAS_FOrg=AA$44),AB78,IF(VaAS_FOrg=AA$45,AC78,IF(VaAS_FOrg=AA$46,AD78,IF(VaAS_FOrg=AA$47,AE78,""))))</f>
        <v>porcins: paille</v>
      </c>
      <c r="AB78" s="630" t="s">
        <v>880</v>
      </c>
      <c r="AC78" s="630" t="s">
        <v>882</v>
      </c>
      <c r="AD78" s="1442" t="s">
        <v>878</v>
      </c>
      <c r="AE78" s="1442" t="s">
        <v>2373</v>
      </c>
      <c r="AF78" s="17" t="str">
        <f>AA44&amp;AB72</f>
        <v>Compostporcins: paille</v>
      </c>
      <c r="AG78" s="805">
        <f>Paramètres!AJ42</f>
        <v>13</v>
      </c>
      <c r="AH78" s="805">
        <f>Paramètres!AK42</f>
        <v>18</v>
      </c>
      <c r="AI78" s="805">
        <f>Paramètres!AL42</f>
        <v>25</v>
      </c>
      <c r="AK78" s="17">
        <f t="shared" si="17"/>
        <v>10</v>
      </c>
      <c r="AL78" s="17">
        <f t="shared" si="4"/>
        <v>15</v>
      </c>
      <c r="AM78" s="17">
        <f t="shared" si="5"/>
        <v>20</v>
      </c>
      <c r="AN78" s="17">
        <f t="shared" si="6"/>
        <v>15</v>
      </c>
      <c r="AO78" s="17">
        <f t="shared" si="7"/>
        <v>20</v>
      </c>
      <c r="AP78" s="17">
        <f t="shared" si="8"/>
        <v>30</v>
      </c>
      <c r="AR78" s="846">
        <f t="shared" si="9"/>
        <v>50</v>
      </c>
      <c r="AS78" s="847">
        <f t="shared" si="10"/>
        <v>75</v>
      </c>
      <c r="AT78" s="848">
        <f t="shared" si="11"/>
        <v>100</v>
      </c>
      <c r="AU78" s="846">
        <f t="shared" si="12"/>
        <v>150</v>
      </c>
      <c r="AV78" s="847">
        <f t="shared" si="13"/>
        <v>200</v>
      </c>
      <c r="AW78" s="848">
        <f t="shared" si="14"/>
        <v>300</v>
      </c>
      <c r="AX78" s="576"/>
      <c r="AY78" s="849">
        <f>Paramètres!AJ59</f>
        <v>0.2</v>
      </c>
      <c r="AZ78" s="849">
        <f>Paramètres!AK59</f>
        <v>0.85</v>
      </c>
      <c r="BA78" s="849">
        <f>Paramètres!AL59</f>
        <v>1</v>
      </c>
    </row>
    <row r="79" spans="1:56" x14ac:dyDescent="0.2">
      <c r="A79" s="1164"/>
      <c r="B79" s="1458"/>
      <c r="C79" s="1457" t="str">
        <f t="shared" si="15"/>
        <v>...</v>
      </c>
      <c r="D79" s="1175"/>
      <c r="E79" s="1175"/>
      <c r="F79" s="1175"/>
      <c r="G79" s="1175"/>
      <c r="H79" s="1455"/>
      <c r="I79" s="1460"/>
      <c r="J79" s="1460"/>
      <c r="K79" s="1461"/>
      <c r="L79" s="1164"/>
      <c r="M79" s="1458"/>
      <c r="N79" s="1457" t="str">
        <f t="shared" si="16"/>
        <v xml:space="preserve"> </v>
      </c>
      <c r="O79" s="1175"/>
      <c r="P79" s="1175"/>
      <c r="Q79" s="1175"/>
      <c r="R79" s="1175"/>
      <c r="S79" s="1455"/>
      <c r="T79" s="1463"/>
      <c r="U79" s="1881"/>
      <c r="V79" s="1880"/>
      <c r="W79" s="1164"/>
      <c r="X79" s="1164"/>
      <c r="Y79" s="1498"/>
      <c r="Z79" s="1498"/>
      <c r="AA79" s="17" t="str">
        <f>IF(OR(VaAS_FOrg=AA$43,VaAS_FOrg=AA$44),AB79,IF(VaAS_FOrg=AA$45,AC79,IF(VaAS_FOrg=AA$46,AD79,IF(VaAS_FOrg=AA$47,AE79,""))))</f>
        <v>porcins: sciure/copeaux</v>
      </c>
      <c r="AB79" s="630" t="s">
        <v>881</v>
      </c>
      <c r="AC79" s="630" t="s">
        <v>883</v>
      </c>
      <c r="AD79" s="1442" t="s">
        <v>1468</v>
      </c>
      <c r="AE79" s="1442" t="s">
        <v>2374</v>
      </c>
      <c r="AF79" s="17" t="str">
        <f>AA44&amp;AB73</f>
        <v>Compostporcins: sciure/copeaux</v>
      </c>
      <c r="AG79" s="805">
        <f>Paramètres!AJ43</f>
        <v>8</v>
      </c>
      <c r="AH79" s="805">
        <f>Paramètres!AK43</f>
        <v>12</v>
      </c>
      <c r="AI79" s="805">
        <f>Paramètres!AL43</f>
        <v>18</v>
      </c>
      <c r="AK79" s="17">
        <f t="shared" si="17"/>
        <v>10</v>
      </c>
      <c r="AL79" s="17">
        <f t="shared" si="4"/>
        <v>15</v>
      </c>
      <c r="AM79" s="17">
        <f t="shared" si="5"/>
        <v>20</v>
      </c>
      <c r="AN79" s="17">
        <f t="shared" si="6"/>
        <v>15</v>
      </c>
      <c r="AO79" s="17">
        <f t="shared" si="7"/>
        <v>20</v>
      </c>
      <c r="AP79" s="17">
        <f t="shared" si="8"/>
        <v>30</v>
      </c>
      <c r="AR79" s="846">
        <f t="shared" si="9"/>
        <v>50</v>
      </c>
      <c r="AS79" s="847">
        <f t="shared" si="10"/>
        <v>75</v>
      </c>
      <c r="AT79" s="848">
        <f t="shared" si="11"/>
        <v>100</v>
      </c>
      <c r="AU79" s="846">
        <f t="shared" si="12"/>
        <v>150</v>
      </c>
      <c r="AV79" s="847">
        <f t="shared" si="13"/>
        <v>200</v>
      </c>
      <c r="AW79" s="848">
        <f t="shared" si="14"/>
        <v>300</v>
      </c>
      <c r="AX79" s="576"/>
      <c r="AY79" s="849">
        <f>Paramètres!AJ60</f>
        <v>0.3</v>
      </c>
      <c r="AZ79" s="849">
        <f>Paramètres!AK60</f>
        <v>0.85</v>
      </c>
      <c r="BA79" s="849">
        <f>Paramètres!AL60</f>
        <v>1</v>
      </c>
    </row>
    <row r="80" spans="1:56" x14ac:dyDescent="0.2">
      <c r="A80" s="1164"/>
      <c r="B80" s="1458"/>
      <c r="C80" s="1457" t="str">
        <f t="shared" si="15"/>
        <v>...</v>
      </c>
      <c r="D80" s="1175"/>
      <c r="E80" s="1175"/>
      <c r="F80" s="1175"/>
      <c r="G80" s="1175"/>
      <c r="H80" s="1455"/>
      <c r="I80" s="1460"/>
      <c r="J80" s="1460"/>
      <c r="K80" s="1873" t="s">
        <v>665</v>
      </c>
      <c r="L80" s="1164"/>
      <c r="M80" s="1458"/>
      <c r="N80" s="1457" t="str">
        <f t="shared" si="16"/>
        <v xml:space="preserve"> </v>
      </c>
      <c r="O80" s="1175"/>
      <c r="P80" s="1175"/>
      <c r="Q80" s="1175"/>
      <c r="R80" s="1175"/>
      <c r="S80" s="1455"/>
      <c r="T80" s="1463"/>
      <c r="U80" s="1881"/>
      <c r="V80" s="1873" t="s">
        <v>665</v>
      </c>
      <c r="W80" s="1164"/>
      <c r="X80" s="1164"/>
      <c r="Y80" s="1498"/>
      <c r="Z80" s="1498"/>
      <c r="AF80" s="17" t="str">
        <f>AA45&amp;AC71</f>
        <v>Lisierbovins</v>
      </c>
      <c r="AG80" s="805">
        <f>Paramètres!AJ44</f>
        <v>4.5</v>
      </c>
      <c r="AH80" s="805">
        <f>Paramètres!AK44</f>
        <v>2</v>
      </c>
      <c r="AI80" s="805">
        <f>Paramètres!AL44</f>
        <v>5.5</v>
      </c>
      <c r="AK80" s="17">
        <f t="shared" si="17"/>
        <v>10</v>
      </c>
      <c r="AL80" s="17">
        <f t="shared" si="4"/>
        <v>15</v>
      </c>
      <c r="AM80" s="17">
        <f t="shared" si="5"/>
        <v>20</v>
      </c>
      <c r="AN80" s="17">
        <f t="shared" si="6"/>
        <v>15</v>
      </c>
      <c r="AO80" s="17">
        <f t="shared" si="7"/>
        <v>20</v>
      </c>
      <c r="AP80" s="17">
        <f t="shared" si="8"/>
        <v>30</v>
      </c>
      <c r="AR80" s="846">
        <f t="shared" si="9"/>
        <v>50</v>
      </c>
      <c r="AS80" s="847">
        <f t="shared" si="10"/>
        <v>75</v>
      </c>
      <c r="AT80" s="848">
        <f t="shared" si="11"/>
        <v>100</v>
      </c>
      <c r="AU80" s="846">
        <f t="shared" si="12"/>
        <v>150</v>
      </c>
      <c r="AV80" s="847">
        <f t="shared" si="13"/>
        <v>200</v>
      </c>
      <c r="AW80" s="848">
        <f t="shared" si="14"/>
        <v>300</v>
      </c>
      <c r="AX80" s="576"/>
      <c r="AY80" s="849">
        <f>Paramètres!AJ61</f>
        <v>0.5</v>
      </c>
      <c r="AZ80" s="849">
        <f>Paramètres!AK61</f>
        <v>0.85</v>
      </c>
      <c r="BA80" s="849">
        <f>Paramètres!AL61</f>
        <v>1</v>
      </c>
    </row>
    <row r="81" spans="1:55" x14ac:dyDescent="0.2">
      <c r="A81" s="1164"/>
      <c r="B81" s="1458"/>
      <c r="C81" s="1455" t="s">
        <v>765</v>
      </c>
      <c r="D81" s="1175"/>
      <c r="E81" s="1175"/>
      <c r="F81" s="1175"/>
      <c r="G81" s="1175"/>
      <c r="H81" s="1175"/>
      <c r="I81" s="1460"/>
      <c r="J81" s="1460"/>
      <c r="K81" s="1871" t="e">
        <f>ABS(AR104)</f>
        <v>#N/A</v>
      </c>
      <c r="L81" s="1164"/>
      <c r="M81" s="1458"/>
      <c r="N81" s="1455" t="s">
        <v>765</v>
      </c>
      <c r="O81" s="1175"/>
      <c r="P81" s="1175"/>
      <c r="Q81" s="1175"/>
      <c r="R81" s="1175"/>
      <c r="S81" s="1455"/>
      <c r="T81" s="1463"/>
      <c r="U81" s="1881"/>
      <c r="V81" s="1893">
        <f>ABS(BC104)</f>
        <v>172.23772641286922</v>
      </c>
      <c r="W81" s="1164"/>
      <c r="X81" s="1164"/>
      <c r="Y81" s="1498"/>
      <c r="Z81" s="1498"/>
      <c r="AF81" s="17" t="str">
        <f>AA45&amp;AC72</f>
        <v>Lisiermixtes de porc</v>
      </c>
      <c r="AG81" s="805">
        <f>Paramètres!AJ45</f>
        <v>4</v>
      </c>
      <c r="AH81" s="805">
        <f>Paramètres!AK45</f>
        <v>3.5</v>
      </c>
      <c r="AI81" s="805">
        <f>Paramètres!AL45</f>
        <v>2.5</v>
      </c>
      <c r="AK81" s="17">
        <f t="shared" si="17"/>
        <v>10</v>
      </c>
      <c r="AL81" s="17">
        <f t="shared" si="4"/>
        <v>15</v>
      </c>
      <c r="AM81" s="17">
        <f t="shared" si="5"/>
        <v>20</v>
      </c>
      <c r="AN81" s="17">
        <f t="shared" si="6"/>
        <v>15</v>
      </c>
      <c r="AO81" s="17">
        <f t="shared" si="7"/>
        <v>20</v>
      </c>
      <c r="AP81" s="17">
        <f t="shared" si="8"/>
        <v>30</v>
      </c>
      <c r="AR81" s="846">
        <f t="shared" si="9"/>
        <v>50</v>
      </c>
      <c r="AS81" s="847">
        <f t="shared" si="10"/>
        <v>75</v>
      </c>
      <c r="AT81" s="848">
        <f t="shared" si="11"/>
        <v>100</v>
      </c>
      <c r="AU81" s="846">
        <f t="shared" si="12"/>
        <v>150</v>
      </c>
      <c r="AV81" s="847">
        <f t="shared" si="13"/>
        <v>200</v>
      </c>
      <c r="AW81" s="848">
        <f t="shared" si="14"/>
        <v>300</v>
      </c>
      <c r="AX81" s="576"/>
      <c r="AY81" s="849">
        <f>Paramètres!AJ62</f>
        <v>0.6</v>
      </c>
      <c r="AZ81" s="849">
        <f>Paramètres!AK62</f>
        <v>0.85</v>
      </c>
      <c r="BA81" s="849">
        <f>Paramètres!AL62</f>
        <v>1</v>
      </c>
    </row>
    <row r="82" spans="1:55" ht="12.75" customHeight="1" x14ac:dyDescent="0.2">
      <c r="A82" s="1164"/>
      <c r="B82" s="1458"/>
      <c r="C82" s="1457" t="str">
        <f>IF(ISERROR(AR$104),"...",IF(AR$104&lt;-10,AF105,IF(AR$104&gt;10,AT105,IF(OR(AR$104&gt;=-10,AR$104&lt;=10),AJ105,""))))</f>
        <v>...</v>
      </c>
      <c r="D82" s="1175"/>
      <c r="E82" s="1175"/>
      <c r="F82" s="1175"/>
      <c r="G82" s="1175"/>
      <c r="H82" s="1175"/>
      <c r="I82" s="1455"/>
      <c r="J82" s="1455"/>
      <c r="K82" s="1178"/>
      <c r="L82" s="1164"/>
      <c r="M82" s="1458"/>
      <c r="N82" s="1457" t="str">
        <f>IF(ISERROR(BC$104),"...",IF(BC$104&lt;-10,AF105,IF(BC$104&gt;10,AT105,IF(AND(BC$104&gt;=-10,BC$104&lt;=10),AJ105,""))))</f>
        <v>Vous êtes en excédent de potasse</v>
      </c>
      <c r="O82" s="1175"/>
      <c r="P82" s="1175"/>
      <c r="Q82" s="1175"/>
      <c r="R82" s="1175"/>
      <c r="S82" s="1455"/>
      <c r="T82" s="1463"/>
      <c r="U82" s="1463"/>
      <c r="V82" s="1875"/>
      <c r="W82" s="1164"/>
      <c r="X82" s="1164"/>
      <c r="Y82" s="1498"/>
      <c r="Z82" s="1498"/>
      <c r="AF82" s="17" t="str">
        <f>AA45&amp;AC73</f>
        <v>Lisierporc engrais</v>
      </c>
      <c r="AG82" s="805">
        <f>Paramètres!AJ46</f>
        <v>5.8</v>
      </c>
      <c r="AH82" s="805">
        <f>Paramètres!AK46</f>
        <v>3.2</v>
      </c>
      <c r="AI82" s="805">
        <f>Paramètres!AL46</f>
        <v>4.8</v>
      </c>
      <c r="AK82" s="17">
        <f t="shared" si="17"/>
        <v>10</v>
      </c>
      <c r="AL82" s="17">
        <f t="shared" si="4"/>
        <v>15</v>
      </c>
      <c r="AM82" s="17">
        <f t="shared" si="5"/>
        <v>20</v>
      </c>
      <c r="AN82" s="17">
        <f t="shared" si="6"/>
        <v>15</v>
      </c>
      <c r="AO82" s="17">
        <f t="shared" si="7"/>
        <v>20</v>
      </c>
      <c r="AP82" s="17">
        <f t="shared" si="8"/>
        <v>30</v>
      </c>
      <c r="AR82" s="846">
        <f t="shared" si="9"/>
        <v>50</v>
      </c>
      <c r="AS82" s="847">
        <f t="shared" si="10"/>
        <v>75</v>
      </c>
      <c r="AT82" s="848">
        <f t="shared" si="11"/>
        <v>100</v>
      </c>
      <c r="AU82" s="846">
        <f t="shared" si="12"/>
        <v>150</v>
      </c>
      <c r="AV82" s="847">
        <f t="shared" si="13"/>
        <v>200</v>
      </c>
      <c r="AW82" s="848">
        <f t="shared" si="14"/>
        <v>300</v>
      </c>
      <c r="AX82" s="576"/>
      <c r="AY82" s="849">
        <f>Paramètres!AJ63</f>
        <v>0.65</v>
      </c>
      <c r="AZ82" s="849">
        <f>Paramètres!AK63</f>
        <v>0.85</v>
      </c>
      <c r="BA82" s="849">
        <f>Paramètres!AL63</f>
        <v>1</v>
      </c>
    </row>
    <row r="83" spans="1:55" ht="12.75" customHeight="1" x14ac:dyDescent="0.2">
      <c r="A83" s="1164"/>
      <c r="B83" s="1458"/>
      <c r="C83" s="1457" t="str">
        <f>IF(ISERROR(AR$104),"...",IF(AR$104&lt;-10,AF106,IF(AR$104&gt;10,AT106,"")))</f>
        <v>...</v>
      </c>
      <c r="D83" s="1175"/>
      <c r="E83" s="1175"/>
      <c r="F83" s="1175"/>
      <c r="G83" s="1175"/>
      <c r="H83" s="1175"/>
      <c r="I83" s="1455"/>
      <c r="J83" s="1455"/>
      <c r="K83" s="1178"/>
      <c r="L83" s="1164"/>
      <c r="M83" s="1458"/>
      <c r="N83" s="1457" t="str">
        <f>IF(ISERROR(BC$104),"...",IF(BC$104&lt;-10,AF106,IF(BC$104&gt;10,AT106,"")))</f>
        <v>Il ne faut donc pas apporter de complément potassique</v>
      </c>
      <c r="O83" s="1175"/>
      <c r="P83" s="1175"/>
      <c r="Q83" s="1175"/>
      <c r="R83" s="1175"/>
      <c r="S83" s="1455"/>
      <c r="T83" s="1455"/>
      <c r="U83" s="1455"/>
      <c r="V83" s="1178"/>
      <c r="W83" s="1164"/>
      <c r="X83" s="1164"/>
      <c r="Y83" s="1498"/>
      <c r="Z83" s="1498"/>
      <c r="AF83" s="17" t="str">
        <f>AA46&amp;AD71</f>
        <v>Co-produits solidesRefus Centri Lisier</v>
      </c>
      <c r="AG83" s="805">
        <f>Paramètres!AJ47</f>
        <v>14</v>
      </c>
      <c r="AH83" s="805">
        <f>Paramètres!AK47</f>
        <v>34</v>
      </c>
      <c r="AI83" s="805">
        <f>Paramètres!AL47</f>
        <v>4</v>
      </c>
      <c r="AK83" s="17">
        <f t="shared" si="17"/>
        <v>10</v>
      </c>
      <c r="AL83" s="17">
        <f t="shared" si="4"/>
        <v>15</v>
      </c>
      <c r="AM83" s="17">
        <f t="shared" si="5"/>
        <v>20</v>
      </c>
      <c r="AN83" s="17">
        <f t="shared" si="6"/>
        <v>15</v>
      </c>
      <c r="AO83" s="17">
        <f t="shared" si="7"/>
        <v>20</v>
      </c>
      <c r="AP83" s="17">
        <f t="shared" si="8"/>
        <v>30</v>
      </c>
      <c r="AR83" s="846">
        <f t="shared" si="9"/>
        <v>50</v>
      </c>
      <c r="AS83" s="847">
        <f t="shared" si="10"/>
        <v>75</v>
      </c>
      <c r="AT83" s="848">
        <f t="shared" si="11"/>
        <v>100</v>
      </c>
      <c r="AU83" s="846">
        <f t="shared" si="12"/>
        <v>150</v>
      </c>
      <c r="AV83" s="847">
        <f t="shared" si="13"/>
        <v>200</v>
      </c>
      <c r="AW83" s="848">
        <f t="shared" si="14"/>
        <v>300</v>
      </c>
      <c r="AY83" s="849">
        <f>Paramètres!AJ64</f>
        <v>0.3</v>
      </c>
      <c r="AZ83" s="849">
        <f>Paramètres!AK64</f>
        <v>0.85</v>
      </c>
      <c r="BA83" s="849">
        <f>Paramètres!AL64</f>
        <v>1</v>
      </c>
    </row>
    <row r="84" spans="1:55" x14ac:dyDescent="0.2">
      <c r="A84" s="1164"/>
      <c r="B84" s="1458"/>
      <c r="C84" s="1457" t="str">
        <f>IF(ISERROR(AR$104),"...",IF(AR$104&lt;-10,AF107,IF(AR$104&gt;10,AT107,"")))</f>
        <v>...</v>
      </c>
      <c r="D84" s="1175"/>
      <c r="E84" s="1175"/>
      <c r="F84" s="1175"/>
      <c r="G84" s="1175"/>
      <c r="H84" s="1175"/>
      <c r="I84" s="1455"/>
      <c r="J84" s="1455"/>
      <c r="K84" s="1178"/>
      <c r="L84" s="1164"/>
      <c r="M84" s="1458"/>
      <c r="N84" s="1457" t="str">
        <f>IF(ISERROR(BC$104),"...",IF(BC$104&lt;-10,AF107,IF(BC$104&gt;10,AT107,"")))</f>
        <v xml:space="preserve"> </v>
      </c>
      <c r="O84" s="1175"/>
      <c r="P84" s="1175"/>
      <c r="Q84" s="1175"/>
      <c r="R84" s="1175"/>
      <c r="S84" s="1455"/>
      <c r="T84" s="1455"/>
      <c r="U84" s="1455"/>
      <c r="V84" s="1178"/>
      <c r="W84" s="1164"/>
      <c r="X84" s="1164"/>
      <c r="Y84" s="1498"/>
      <c r="Z84" s="1498"/>
      <c r="AF84" s="17" t="str">
        <f>AA46&amp;AD72</f>
        <v>Co-produits solidesCompost</v>
      </c>
      <c r="AG84" s="805">
        <f>Paramètres!AJ48</f>
        <v>6.1</v>
      </c>
      <c r="AH84" s="805">
        <f>Paramètres!AK48</f>
        <v>8.8000000000000007</v>
      </c>
      <c r="AI84" s="805">
        <f>Paramètres!AL48</f>
        <v>7.5</v>
      </c>
      <c r="AK84" s="17">
        <f t="shared" si="17"/>
        <v>10</v>
      </c>
      <c r="AL84" s="17">
        <f t="shared" si="4"/>
        <v>15</v>
      </c>
      <c r="AM84" s="17">
        <f t="shared" si="5"/>
        <v>20</v>
      </c>
      <c r="AN84" s="17">
        <f t="shared" si="6"/>
        <v>15</v>
      </c>
      <c r="AO84" s="17">
        <f t="shared" si="7"/>
        <v>20</v>
      </c>
      <c r="AP84" s="17">
        <f t="shared" si="8"/>
        <v>30</v>
      </c>
      <c r="AR84" s="846">
        <f t="shared" si="9"/>
        <v>50</v>
      </c>
      <c r="AS84" s="847">
        <f t="shared" si="10"/>
        <v>75</v>
      </c>
      <c r="AT84" s="848">
        <f t="shared" si="11"/>
        <v>100</v>
      </c>
      <c r="AU84" s="846">
        <f t="shared" si="12"/>
        <v>150</v>
      </c>
      <c r="AV84" s="847">
        <f t="shared" si="13"/>
        <v>200</v>
      </c>
      <c r="AW84" s="848">
        <f t="shared" si="14"/>
        <v>300</v>
      </c>
      <c r="AY84" s="849">
        <f>Paramètres!AJ65</f>
        <v>0.3</v>
      </c>
      <c r="AZ84" s="849">
        <f>Paramètres!AK65</f>
        <v>0.85</v>
      </c>
      <c r="BA84" s="849">
        <f>Paramètres!AL65</f>
        <v>1</v>
      </c>
    </row>
    <row r="85" spans="1:55" ht="12.75" customHeight="1" x14ac:dyDescent="0.2">
      <c r="A85" s="1164"/>
      <c r="B85" s="1458"/>
      <c r="C85" s="1457" t="str">
        <f>IF(ISERROR(AR$104),"...",IF(AR$104&lt;-10,AF108,IF(AR$104&gt;10,AT108,"")))</f>
        <v>...</v>
      </c>
      <c r="D85" s="1175"/>
      <c r="E85" s="1175"/>
      <c r="F85" s="1175"/>
      <c r="G85" s="1175"/>
      <c r="H85" s="1175"/>
      <c r="I85" s="1455"/>
      <c r="J85" s="1455"/>
      <c r="K85" s="1178"/>
      <c r="L85" s="1164"/>
      <c r="M85" s="1458"/>
      <c r="N85" s="1457" t="str">
        <f>IF(ISERROR(BC$104),"...",IF(BC$104&lt;-10,AF108,IF(BC$104&gt;10,AT108,"")))</f>
        <v xml:space="preserve"> </v>
      </c>
      <c r="O85" s="1175"/>
      <c r="P85" s="1175"/>
      <c r="Q85" s="1175"/>
      <c r="R85" s="1175"/>
      <c r="S85" s="1455"/>
      <c r="T85" s="1455"/>
      <c r="U85" s="1455"/>
      <c r="V85" s="1178"/>
      <c r="W85" s="1164"/>
      <c r="X85" s="1164"/>
      <c r="Y85" s="1498"/>
      <c r="Z85" s="1498"/>
      <c r="AF85" s="17" t="str">
        <f>AA47&amp;AE71</f>
        <v>Digesta méthanisationliquides</v>
      </c>
      <c r="AG85" s="805">
        <f>Paramètres!AJ49</f>
        <v>4</v>
      </c>
      <c r="AH85" s="805">
        <f>Paramètres!AK49</f>
        <v>1.5</v>
      </c>
      <c r="AI85" s="805">
        <f>Paramètres!AL49</f>
        <v>6</v>
      </c>
      <c r="AK85" s="17">
        <f t="shared" si="17"/>
        <v>10</v>
      </c>
      <c r="AL85" s="17">
        <f t="shared" si="4"/>
        <v>15</v>
      </c>
      <c r="AM85" s="17">
        <f t="shared" si="5"/>
        <v>20</v>
      </c>
      <c r="AN85" s="17">
        <f t="shared" si="6"/>
        <v>15</v>
      </c>
      <c r="AO85" s="17">
        <f t="shared" si="7"/>
        <v>20</v>
      </c>
      <c r="AP85" s="17">
        <f t="shared" si="8"/>
        <v>30</v>
      </c>
      <c r="AR85" s="846">
        <f t="shared" si="9"/>
        <v>50</v>
      </c>
      <c r="AS85" s="847">
        <f t="shared" si="10"/>
        <v>75</v>
      </c>
      <c r="AT85" s="848">
        <f t="shared" si="11"/>
        <v>100</v>
      </c>
      <c r="AU85" s="846">
        <f t="shared" si="12"/>
        <v>150</v>
      </c>
      <c r="AV85" s="847">
        <f t="shared" si="13"/>
        <v>200</v>
      </c>
      <c r="AW85" s="848">
        <f t="shared" si="14"/>
        <v>300</v>
      </c>
      <c r="AY85" s="849">
        <f>Paramètres!AJ66</f>
        <v>0.7</v>
      </c>
      <c r="AZ85" s="849">
        <f>Paramètres!AK66</f>
        <v>0.8</v>
      </c>
      <c r="BA85" s="849">
        <f>Paramètres!AL66</f>
        <v>1</v>
      </c>
    </row>
    <row r="86" spans="1:55" x14ac:dyDescent="0.2">
      <c r="A86" s="1164"/>
      <c r="B86" s="1458"/>
      <c r="C86" s="1457" t="str">
        <f>IF(ISERROR(AR$104),"...",IF(AR$104&lt;-10,AF109,IF(AR$104&gt;10,AT109,"")))</f>
        <v>...</v>
      </c>
      <c r="D86" s="1175"/>
      <c r="E86" s="1175"/>
      <c r="F86" s="1175"/>
      <c r="G86" s="1175"/>
      <c r="H86" s="1175"/>
      <c r="I86" s="1455"/>
      <c r="J86" s="1455"/>
      <c r="K86" s="1178"/>
      <c r="L86" s="1164"/>
      <c r="M86" s="1458"/>
      <c r="N86" s="1457" t="str">
        <f>IF(ISERROR(BC$104),"...",IF(BC$104&lt;-10,AF109,IF(BC$104&gt;10,AT109,"")))</f>
        <v xml:space="preserve"> </v>
      </c>
      <c r="O86" s="1175"/>
      <c r="P86" s="1175"/>
      <c r="Q86" s="1175"/>
      <c r="R86" s="1175"/>
      <c r="S86" s="1455"/>
      <c r="T86" s="1455"/>
      <c r="U86" s="1455"/>
      <c r="V86" s="1178"/>
      <c r="W86" s="1164"/>
      <c r="X86" s="1164"/>
      <c r="Y86" s="1498"/>
      <c r="Z86" s="1498"/>
      <c r="AF86" s="17" t="str">
        <f>AA47&amp;AE72</f>
        <v>Digesta méthanisationsolides</v>
      </c>
      <c r="AG86" s="805">
        <f>Paramètres!AJ50</f>
        <v>7</v>
      </c>
      <c r="AH86" s="805">
        <f>Paramètres!AK50</f>
        <v>4</v>
      </c>
      <c r="AI86" s="805">
        <f>Paramètres!AL50</f>
        <v>8</v>
      </c>
      <c r="AK86" s="17">
        <f t="shared" si="17"/>
        <v>10</v>
      </c>
      <c r="AL86" s="17">
        <f t="shared" si="4"/>
        <v>15</v>
      </c>
      <c r="AM86" s="17">
        <f t="shared" si="5"/>
        <v>20</v>
      </c>
      <c r="AN86" s="17">
        <f t="shared" si="6"/>
        <v>15</v>
      </c>
      <c r="AO86" s="17">
        <f t="shared" si="7"/>
        <v>20</v>
      </c>
      <c r="AP86" s="17">
        <f t="shared" si="8"/>
        <v>30</v>
      </c>
      <c r="AR86" s="846">
        <f t="shared" si="9"/>
        <v>50</v>
      </c>
      <c r="AS86" s="847">
        <f t="shared" si="10"/>
        <v>75</v>
      </c>
      <c r="AT86" s="848">
        <f t="shared" si="11"/>
        <v>100</v>
      </c>
      <c r="AU86" s="846">
        <f t="shared" si="12"/>
        <v>150</v>
      </c>
      <c r="AV86" s="847">
        <f t="shared" si="13"/>
        <v>200</v>
      </c>
      <c r="AW86" s="848">
        <f t="shared" si="14"/>
        <v>300</v>
      </c>
      <c r="AY86" s="849">
        <f>Paramètres!AJ67</f>
        <v>0.7</v>
      </c>
      <c r="AZ86" s="849">
        <f>Paramètres!AK67</f>
        <v>0.8</v>
      </c>
      <c r="BA86" s="849">
        <f>Paramètres!AL67</f>
        <v>1</v>
      </c>
    </row>
    <row r="87" spans="1:55" x14ac:dyDescent="0.2">
      <c r="A87" s="1164"/>
      <c r="B87" s="1458"/>
      <c r="C87" s="1457" t="str">
        <f>IF(ISERROR(AR$104),"...",IF(AR$104&lt;-10,AF110,IF(AR$104&gt;10,AT110,"")))</f>
        <v>...</v>
      </c>
      <c r="D87" s="1175"/>
      <c r="E87" s="1175"/>
      <c r="F87" s="1175"/>
      <c r="G87" s="1175"/>
      <c r="H87" s="1175"/>
      <c r="I87" s="1455"/>
      <c r="J87" s="1455"/>
      <c r="K87" s="1178"/>
      <c r="L87" s="1164"/>
      <c r="M87" s="1458"/>
      <c r="N87" s="1457" t="str">
        <f>IF(ISERROR(BC$104),"...",IF(BC$104&lt;-10,AF110,IF(BC$104&gt;10,AT110,"")))</f>
        <v xml:space="preserve"> </v>
      </c>
      <c r="O87" s="1175"/>
      <c r="P87" s="1175"/>
      <c r="Q87" s="1175"/>
      <c r="R87" s="1175"/>
      <c r="S87" s="1455"/>
      <c r="T87" s="1455"/>
      <c r="U87" s="1455"/>
      <c r="V87" s="1178"/>
      <c r="W87" s="1164"/>
      <c r="X87" s="1164"/>
      <c r="Y87" s="1498"/>
      <c r="Z87" s="1498"/>
      <c r="AF87" s="17" t="str">
        <f>AA47&amp;AE73</f>
        <v>Digesta méthanisationcomposts</v>
      </c>
      <c r="AG87" s="805">
        <f>Paramètres!AJ51</f>
        <v>15</v>
      </c>
      <c r="AH87" s="805">
        <f>Paramètres!AK51</f>
        <v>7</v>
      </c>
      <c r="AI87" s="805">
        <f>Paramètres!AL51</f>
        <v>18</v>
      </c>
      <c r="AK87" s="17">
        <f t="shared" si="17"/>
        <v>10</v>
      </c>
      <c r="AL87" s="17">
        <f t="shared" si="4"/>
        <v>15</v>
      </c>
      <c r="AM87" s="17">
        <f t="shared" si="5"/>
        <v>20</v>
      </c>
      <c r="AN87" s="17">
        <f t="shared" si="6"/>
        <v>15</v>
      </c>
      <c r="AO87" s="17">
        <f t="shared" si="7"/>
        <v>20</v>
      </c>
      <c r="AP87" s="17">
        <f t="shared" si="8"/>
        <v>30</v>
      </c>
      <c r="AR87" s="846">
        <f t="shared" si="9"/>
        <v>50</v>
      </c>
      <c r="AS87" s="847">
        <f t="shared" si="10"/>
        <v>75</v>
      </c>
      <c r="AT87" s="848">
        <f t="shared" si="11"/>
        <v>100</v>
      </c>
      <c r="AU87" s="846">
        <f t="shared" si="12"/>
        <v>150</v>
      </c>
      <c r="AV87" s="847">
        <f t="shared" si="13"/>
        <v>200</v>
      </c>
      <c r="AW87" s="848">
        <f t="shared" si="14"/>
        <v>300</v>
      </c>
      <c r="AY87" s="849">
        <f>Paramètres!AJ68</f>
        <v>0.7</v>
      </c>
      <c r="AZ87" s="849">
        <f>Paramètres!AK68</f>
        <v>0.8</v>
      </c>
      <c r="BA87" s="849">
        <f>Paramètres!AL68</f>
        <v>1</v>
      </c>
    </row>
    <row r="88" spans="1:55" ht="5.0999999999999996" customHeight="1" x14ac:dyDescent="0.2">
      <c r="A88" s="1164"/>
      <c r="B88" s="1458"/>
      <c r="C88" s="1175"/>
      <c r="D88" s="1175"/>
      <c r="E88" s="1175"/>
      <c r="F88" s="1175"/>
      <c r="G88" s="1175"/>
      <c r="H88" s="1175"/>
      <c r="I88" s="1455"/>
      <c r="J88" s="1455"/>
      <c r="K88" s="1178"/>
      <c r="L88" s="1164"/>
      <c r="M88" s="1458"/>
      <c r="N88" s="1175"/>
      <c r="O88" s="1175"/>
      <c r="P88" s="1175"/>
      <c r="Q88" s="1175"/>
      <c r="R88" s="1175"/>
      <c r="S88" s="1455"/>
      <c r="T88" s="1455"/>
      <c r="U88" s="1455"/>
      <c r="V88" s="1178"/>
      <c r="W88" s="1164"/>
      <c r="X88" s="1164"/>
      <c r="Y88" s="1498"/>
      <c r="Z88" s="1498"/>
    </row>
    <row r="89" spans="1:55" x14ac:dyDescent="0.2">
      <c r="A89" s="1164"/>
      <c r="B89" s="1451" t="s">
        <v>675</v>
      </c>
      <c r="C89" s="1452"/>
      <c r="D89" s="1452"/>
      <c r="E89" s="1452"/>
      <c r="F89" s="1195"/>
      <c r="G89" s="1195"/>
      <c r="H89" s="1195"/>
      <c r="I89" s="1874" t="s">
        <v>625</v>
      </c>
      <c r="J89" s="1874" t="s">
        <v>187</v>
      </c>
      <c r="K89" s="1873" t="s">
        <v>665</v>
      </c>
      <c r="L89" s="1164"/>
      <c r="M89" s="1451" t="s">
        <v>675</v>
      </c>
      <c r="N89" s="1452"/>
      <c r="O89" s="1452"/>
      <c r="P89" s="1452"/>
      <c r="Q89" s="1195"/>
      <c r="R89" s="1195"/>
      <c r="S89" s="1195"/>
      <c r="T89" s="1874" t="s">
        <v>625</v>
      </c>
      <c r="U89" s="1874" t="s">
        <v>187</v>
      </c>
      <c r="V89" s="1873" t="s">
        <v>665</v>
      </c>
      <c r="W89" s="1164"/>
      <c r="X89" s="1164"/>
      <c r="Y89" s="1498"/>
      <c r="Z89" s="1498"/>
    </row>
    <row r="90" spans="1:55" ht="12.75" customHeight="1" x14ac:dyDescent="0.2">
      <c r="A90" s="1164"/>
      <c r="B90" s="1458"/>
      <c r="C90" s="1457" t="s">
        <v>646</v>
      </c>
      <c r="D90" s="1175"/>
      <c r="E90" s="1175"/>
      <c r="F90" s="1175"/>
      <c r="G90" s="1175"/>
      <c r="H90" s="1175"/>
      <c r="I90" s="1463"/>
      <c r="J90" s="1463"/>
      <c r="K90" s="1875"/>
      <c r="L90" s="1164"/>
      <c r="M90" s="1458"/>
      <c r="N90" s="1457"/>
      <c r="O90" s="1175"/>
      <c r="P90" s="1455"/>
      <c r="Q90" s="1455"/>
      <c r="R90" s="1455"/>
      <c r="S90" s="1455"/>
      <c r="T90" s="1463"/>
      <c r="U90" s="1463"/>
      <c r="V90" s="1875"/>
      <c r="W90" s="1164"/>
      <c r="X90" s="1164"/>
      <c r="Y90" s="1498"/>
      <c r="Z90" s="1498"/>
    </row>
    <row r="91" spans="1:55" ht="25.5" customHeight="1" x14ac:dyDescent="0.2">
      <c r="A91" s="1164"/>
      <c r="B91" s="1458"/>
      <c r="C91" s="3211" t="s">
        <v>2417</v>
      </c>
      <c r="D91" s="3211"/>
      <c r="E91" s="3211"/>
      <c r="F91" s="3211"/>
      <c r="G91" s="3211"/>
      <c r="H91" s="2945"/>
      <c r="I91" s="2943" t="e">
        <f ca="1">I38</f>
        <v>#N/A</v>
      </c>
      <c r="J91" s="2946" t="e">
        <f>J38</f>
        <v>#N/A</v>
      </c>
      <c r="K91" s="2944" t="e">
        <f>K38</f>
        <v>#N/A</v>
      </c>
      <c r="L91" s="1164"/>
      <c r="M91" s="1458"/>
      <c r="N91" s="3213" t="str">
        <f>N68&amp;N69</f>
        <v>Les apports de la légumineuse doivent couvrir les besoins en N restant au-delà des 80 kg maximum apportés fin mars</v>
      </c>
      <c r="O91" s="3213"/>
      <c r="P91" s="3213"/>
      <c r="Q91" s="3213"/>
      <c r="R91" s="3213"/>
      <c r="S91" s="10"/>
      <c r="T91" s="2943">
        <f ca="1">T38</f>
        <v>-169.97996483818042</v>
      </c>
      <c r="U91" s="2943">
        <f>U38</f>
        <v>29.062284197449817</v>
      </c>
      <c r="V91" s="2944">
        <f>V38</f>
        <v>127.76227358713079</v>
      </c>
      <c r="W91" s="1164"/>
      <c r="X91" s="1164"/>
      <c r="Y91" s="1498"/>
      <c r="Z91" s="1498"/>
    </row>
    <row r="92" spans="1:55" ht="12.75" customHeight="1" x14ac:dyDescent="0.2">
      <c r="A92" s="1164"/>
      <c r="B92" s="1458"/>
      <c r="C92" s="1457"/>
      <c r="D92" s="1175"/>
      <c r="E92" s="1175"/>
      <c r="F92" s="1175"/>
      <c r="G92" s="1175"/>
      <c r="H92" s="1175"/>
      <c r="I92" s="1455"/>
      <c r="J92" s="1455"/>
      <c r="K92" s="1178"/>
      <c r="L92" s="1164"/>
      <c r="M92" s="1458"/>
      <c r="N92" s="3210" t="str">
        <f ca="1">IF(T91&gt;=-20,"","Azote en excédent")</f>
        <v>Azote en excédent</v>
      </c>
      <c r="O92" s="3210"/>
      <c r="P92" s="3210"/>
      <c r="Q92" s="3210"/>
      <c r="R92" s="3210"/>
      <c r="S92" s="1455"/>
      <c r="T92" s="1455"/>
      <c r="U92" s="1455"/>
      <c r="V92" s="1178"/>
      <c r="W92" s="1164"/>
      <c r="X92" s="1164"/>
      <c r="Y92" s="1498"/>
      <c r="Z92" s="1498"/>
    </row>
    <row r="93" spans="1:55" ht="5.0999999999999996" customHeight="1" thickBot="1" x14ac:dyDescent="0.25">
      <c r="A93" s="1164"/>
      <c r="B93" s="1179"/>
      <c r="C93" s="1456"/>
      <c r="D93" s="1456"/>
      <c r="E93" s="1456"/>
      <c r="F93" s="1456"/>
      <c r="G93" s="1456"/>
      <c r="H93" s="1456"/>
      <c r="I93" s="1456"/>
      <c r="J93" s="1456"/>
      <c r="K93" s="1180"/>
      <c r="L93" s="1164"/>
      <c r="M93" s="1179"/>
      <c r="N93" s="1456"/>
      <c r="O93" s="1456"/>
      <c r="P93" s="1456"/>
      <c r="Q93" s="1456"/>
      <c r="R93" s="1456"/>
      <c r="S93" s="1456"/>
      <c r="T93" s="1456"/>
      <c r="U93" s="1456"/>
      <c r="V93" s="1180"/>
      <c r="W93" s="1164"/>
      <c r="X93" s="1164"/>
      <c r="Y93" s="1498"/>
      <c r="Z93" s="1498"/>
    </row>
    <row r="94" spans="1:55" ht="13.5" thickTop="1" x14ac:dyDescent="0.2">
      <c r="A94" s="1164"/>
      <c r="B94" s="1164"/>
      <c r="C94" s="1164"/>
      <c r="D94" s="1164"/>
      <c r="E94" s="1164"/>
      <c r="F94" s="1164"/>
      <c r="G94" s="1164"/>
      <c r="H94" s="1164"/>
      <c r="I94" s="1164"/>
      <c r="J94" s="1164"/>
      <c r="K94" s="1164"/>
      <c r="L94" s="1164"/>
      <c r="M94" s="1164"/>
      <c r="N94" s="1164"/>
      <c r="O94" s="1164"/>
      <c r="P94" s="1164"/>
      <c r="Q94" s="1164"/>
      <c r="R94" s="1164"/>
      <c r="S94" s="1164"/>
      <c r="T94" s="1164"/>
      <c r="U94" s="1164"/>
      <c r="V94" s="1164"/>
      <c r="W94" s="1164"/>
      <c r="X94" s="1164"/>
      <c r="Y94" s="1498"/>
      <c r="Z94" s="1498"/>
      <c r="AF94" s="850" t="s">
        <v>667</v>
      </c>
      <c r="AG94" s="630"/>
      <c r="AH94" s="630"/>
      <c r="AI94" s="630"/>
      <c r="AJ94" s="850" t="s">
        <v>910</v>
      </c>
      <c r="AK94" s="630"/>
      <c r="AL94" s="630"/>
      <c r="AM94" s="630"/>
      <c r="AN94" s="630"/>
      <c r="AO94" s="630"/>
      <c r="AP94" s="630"/>
      <c r="AQ94" s="630"/>
      <c r="AR94" s="1206" t="e">
        <f>J38-J62</f>
        <v>#N/A</v>
      </c>
      <c r="AT94" s="850" t="s">
        <v>668</v>
      </c>
      <c r="AU94" s="630"/>
      <c r="AV94" s="630"/>
      <c r="AW94" s="630"/>
      <c r="AX94" s="630"/>
      <c r="AY94" s="630"/>
      <c r="AZ94" s="630"/>
      <c r="BA94" s="630"/>
      <c r="BB94" s="630"/>
      <c r="BC94" s="623">
        <f>U38-U62</f>
        <v>-140.93771580255017</v>
      </c>
    </row>
    <row r="95" spans="1:55" x14ac:dyDescent="0.2">
      <c r="A95" s="1164"/>
      <c r="B95" s="1259" t="s">
        <v>1097</v>
      </c>
      <c r="C95" s="1164"/>
      <c r="D95" s="1164"/>
      <c r="E95" s="1164"/>
      <c r="F95" s="1164"/>
      <c r="G95" s="1164"/>
      <c r="H95" s="1164"/>
      <c r="I95" s="1483" t="s">
        <v>1072</v>
      </c>
      <c r="J95" s="1164"/>
      <c r="K95" s="1164"/>
      <c r="L95" s="1164"/>
      <c r="M95" s="1259" t="s">
        <v>1097</v>
      </c>
      <c r="N95" s="1164"/>
      <c r="O95" s="1164"/>
      <c r="P95" s="1164"/>
      <c r="Q95" s="1164"/>
      <c r="R95" s="1164"/>
      <c r="S95" s="1164"/>
      <c r="T95" s="1483" t="s">
        <v>1072</v>
      </c>
      <c r="U95" s="1164"/>
      <c r="V95" s="1164"/>
      <c r="W95" s="1164"/>
      <c r="X95" s="1164"/>
      <c r="Y95" s="1498"/>
      <c r="Z95" s="1498"/>
      <c r="AF95" s="630" t="s">
        <v>673</v>
      </c>
      <c r="AG95" s="630"/>
      <c r="AH95" s="630"/>
      <c r="AI95" s="630"/>
      <c r="AJ95" s="630" t="s">
        <v>909</v>
      </c>
      <c r="AK95" s="630"/>
      <c r="AL95" s="630"/>
      <c r="AM95" s="630"/>
      <c r="AN95" s="630"/>
      <c r="AO95" s="630"/>
      <c r="AP95" s="630"/>
      <c r="AQ95" s="630"/>
      <c r="AR95" s="630" t="s">
        <v>672</v>
      </c>
      <c r="AT95" s="630" t="s">
        <v>669</v>
      </c>
      <c r="AU95" s="630"/>
      <c r="AV95" s="630"/>
      <c r="AW95" s="630"/>
      <c r="AX95" s="630"/>
      <c r="AY95" s="630"/>
      <c r="AZ95" s="630"/>
      <c r="BA95" s="630"/>
      <c r="BB95" s="630"/>
      <c r="BC95" s="630" t="s">
        <v>672</v>
      </c>
    </row>
    <row r="96" spans="1:55" ht="5.0999999999999996" customHeight="1" x14ac:dyDescent="0.2">
      <c r="A96" s="1164"/>
      <c r="B96" s="1164"/>
      <c r="C96" s="1164"/>
      <c r="D96" s="1164"/>
      <c r="E96" s="1164"/>
      <c r="F96" s="1164"/>
      <c r="G96" s="1164"/>
      <c r="H96" s="1164"/>
      <c r="I96" s="1164"/>
      <c r="J96" s="1164"/>
      <c r="K96" s="1164"/>
      <c r="L96" s="1164"/>
      <c r="M96" s="1164"/>
      <c r="N96" s="1164"/>
      <c r="O96" s="1164"/>
      <c r="P96" s="1164"/>
      <c r="Q96" s="1164"/>
      <c r="R96" s="1164"/>
      <c r="S96" s="1164"/>
      <c r="T96" s="1164"/>
      <c r="U96" s="1164"/>
      <c r="V96" s="1164"/>
      <c r="W96" s="1164"/>
      <c r="X96" s="1164"/>
      <c r="Y96" s="1498"/>
      <c r="Z96" s="1498"/>
      <c r="AF96" s="1514" t="s">
        <v>1368</v>
      </c>
      <c r="AG96" s="630"/>
      <c r="AH96" s="630"/>
      <c r="AI96" s="630"/>
      <c r="AJ96" s="630"/>
      <c r="AK96" s="630"/>
      <c r="AL96" s="630"/>
      <c r="AM96" s="630"/>
      <c r="AN96" s="630"/>
      <c r="AO96" s="630"/>
      <c r="AP96" s="630"/>
      <c r="AQ96" s="630"/>
      <c r="AT96" s="630" t="s">
        <v>670</v>
      </c>
      <c r="AU96" s="630"/>
      <c r="AV96" s="630"/>
      <c r="AW96" s="630"/>
      <c r="AX96" s="630"/>
      <c r="AY96" s="630"/>
      <c r="AZ96" s="630"/>
      <c r="BA96" s="630"/>
      <c r="BB96" s="630"/>
    </row>
    <row r="97" spans="1:55" x14ac:dyDescent="0.2">
      <c r="A97" s="1164"/>
      <c r="B97" s="1164"/>
      <c r="C97" s="1164"/>
      <c r="D97" s="1164"/>
      <c r="E97" s="1164"/>
      <c r="F97" s="1164"/>
      <c r="G97" s="1431" t="s">
        <v>1078</v>
      </c>
      <c r="H97" s="1164"/>
      <c r="I97" s="1876" t="e">
        <f ca="1">100*I36/I$11</f>
        <v>#N/A</v>
      </c>
      <c r="J97" s="1483" t="s">
        <v>1095</v>
      </c>
      <c r="K97" s="1164"/>
      <c r="L97" s="1164"/>
      <c r="M97" s="1164"/>
      <c r="N97" s="1164"/>
      <c r="O97" s="1164"/>
      <c r="P97" s="1164"/>
      <c r="Q97" s="1164"/>
      <c r="R97" s="1431" t="s">
        <v>1078</v>
      </c>
      <c r="S97" s="1164"/>
      <c r="T97" s="1876">
        <f ca="1">100*T36/T$11</f>
        <v>285.91558654175981</v>
      </c>
      <c r="U97" s="1483" t="s">
        <v>1095</v>
      </c>
      <c r="V97" s="1164"/>
      <c r="W97" s="1164"/>
      <c r="X97" s="1164"/>
      <c r="Y97" s="1498"/>
      <c r="Z97" s="1498"/>
      <c r="AF97" s="630" t="s">
        <v>671</v>
      </c>
      <c r="AG97" s="630"/>
      <c r="AH97" s="630"/>
      <c r="AI97" s="630"/>
      <c r="AJ97" s="630"/>
      <c r="AK97" s="630"/>
      <c r="AL97" s="630"/>
      <c r="AM97" s="630"/>
      <c r="AN97" s="630"/>
      <c r="AO97" s="630"/>
      <c r="AP97" s="630"/>
      <c r="AQ97" s="630"/>
      <c r="AS97" s="1105">
        <f>Paramètres!AJ71</f>
        <v>230</v>
      </c>
      <c r="AT97" s="630" t="str">
        <f>AS97&amp;" mg / kg terre (Phosphore Dyer)"</f>
        <v>230 mg / kg terre (Phosphore Dyer)</v>
      </c>
      <c r="AU97" s="630"/>
      <c r="AV97" s="630"/>
      <c r="AW97" s="630"/>
      <c r="AX97" s="630"/>
      <c r="AY97" s="630"/>
      <c r="AZ97" s="630"/>
      <c r="BA97" s="630"/>
      <c r="BB97" s="630"/>
    </row>
    <row r="98" spans="1:55" x14ac:dyDescent="0.2">
      <c r="A98" s="1164"/>
      <c r="B98" s="1164"/>
      <c r="C98" s="1164"/>
      <c r="D98" s="1164"/>
      <c r="E98" s="1164"/>
      <c r="F98" s="1164"/>
      <c r="G98" s="1431" t="s">
        <v>1073</v>
      </c>
      <c r="H98" s="1164"/>
      <c r="I98" s="1876" t="e">
        <f>100*I62/I$11</f>
        <v>#N/A</v>
      </c>
      <c r="J98" s="1483" t="s">
        <v>1096</v>
      </c>
      <c r="K98" s="1164"/>
      <c r="L98" s="1164"/>
      <c r="M98" s="1164"/>
      <c r="N98" s="1164"/>
      <c r="O98" s="1164"/>
      <c r="P98" s="1164"/>
      <c r="Q98" s="1164"/>
      <c r="R98" s="1431" t="s">
        <v>1073</v>
      </c>
      <c r="S98" s="1164"/>
      <c r="T98" s="1876">
        <f>100*T62/T$11</f>
        <v>46.875</v>
      </c>
      <c r="U98" s="1483" t="s">
        <v>1096</v>
      </c>
      <c r="V98" s="1164"/>
      <c r="W98" s="1164"/>
      <c r="X98" s="1164"/>
      <c r="Y98" s="1498"/>
      <c r="Z98" s="1498"/>
      <c r="AF98" s="630" t="s">
        <v>671</v>
      </c>
      <c r="AG98" s="630"/>
      <c r="AH98" s="630"/>
      <c r="AI98" s="630"/>
      <c r="AJ98" s="630"/>
      <c r="AK98" s="630"/>
      <c r="AL98" s="630"/>
      <c r="AM98" s="630"/>
      <c r="AN98" s="630"/>
      <c r="AO98" s="630"/>
      <c r="AP98" s="630"/>
      <c r="AQ98" s="630"/>
      <c r="AS98" s="1105">
        <f>Paramètres!AJ72</f>
        <v>80</v>
      </c>
      <c r="AT98" s="630" t="str">
        <f>" ou "&amp;AS98&amp;" mg / kg terre (Phosphore Olsen)"</f>
        <v xml:space="preserve"> ou 80 mg / kg terre (Phosphore Olsen)</v>
      </c>
      <c r="AU98" s="630"/>
      <c r="AV98" s="630"/>
      <c r="AW98" s="630"/>
      <c r="AX98" s="630"/>
      <c r="AY98" s="630"/>
      <c r="AZ98" s="630"/>
      <c r="BA98" s="630"/>
      <c r="BB98" s="630"/>
    </row>
    <row r="99" spans="1:55" x14ac:dyDescent="0.2">
      <c r="A99" s="1164"/>
      <c r="B99" s="1164"/>
      <c r="C99" s="1164"/>
      <c r="D99" s="1164"/>
      <c r="E99" s="1164"/>
      <c r="F99" s="1164"/>
      <c r="G99" s="1431" t="s">
        <v>1079</v>
      </c>
      <c r="H99" s="1164"/>
      <c r="I99" s="1876" t="e">
        <f ca="1">100*I69/I$11</f>
        <v>#N/A</v>
      </c>
      <c r="J99" s="1483" t="s">
        <v>1096</v>
      </c>
      <c r="K99" s="1164"/>
      <c r="L99" s="1164"/>
      <c r="M99" s="1164"/>
      <c r="N99" s="1164"/>
      <c r="O99" s="1164"/>
      <c r="P99" s="1164"/>
      <c r="Q99" s="1164"/>
      <c r="R99" s="1431" t="s">
        <v>1079</v>
      </c>
      <c r="S99" s="1164"/>
      <c r="T99" s="1876">
        <f ca="1">100*T69/T$11</f>
        <v>-312.46869505965691</v>
      </c>
      <c r="U99" s="1483" t="s">
        <v>1096</v>
      </c>
      <c r="V99" s="1164"/>
      <c r="W99" s="1164"/>
      <c r="X99" s="1164"/>
      <c r="Y99" s="1498"/>
      <c r="Z99" s="1498"/>
      <c r="AF99" s="630" t="s">
        <v>671</v>
      </c>
      <c r="AG99" s="630"/>
      <c r="AH99" s="630"/>
      <c r="AI99" s="630"/>
      <c r="AJ99" s="630"/>
      <c r="AK99" s="630"/>
      <c r="AL99" s="630"/>
      <c r="AM99" s="630"/>
      <c r="AN99" s="630"/>
      <c r="AO99" s="630"/>
      <c r="AP99" s="630"/>
      <c r="AQ99" s="630"/>
      <c r="AT99" s="630" t="s">
        <v>585</v>
      </c>
      <c r="AU99" s="630"/>
      <c r="AV99" s="630"/>
      <c r="AW99" s="630"/>
      <c r="AX99" s="630"/>
      <c r="AY99" s="630"/>
      <c r="AZ99" s="630"/>
      <c r="BA99" s="630"/>
      <c r="BB99" s="630"/>
    </row>
    <row r="100" spans="1:55" x14ac:dyDescent="0.2">
      <c r="A100" s="1164"/>
      <c r="B100" s="1164"/>
      <c r="C100" s="1164"/>
      <c r="D100" s="1164"/>
      <c r="E100" s="1164"/>
      <c r="F100" s="1164"/>
      <c r="G100" s="1164"/>
      <c r="H100" s="1164"/>
      <c r="I100" s="1164"/>
      <c r="J100" s="1164"/>
      <c r="K100" s="1164"/>
      <c r="L100" s="1164"/>
      <c r="M100" s="1164"/>
      <c r="N100" s="1164"/>
      <c r="O100" s="1164"/>
      <c r="P100" s="1164"/>
      <c r="Q100" s="1164"/>
      <c r="R100" s="1164"/>
      <c r="S100" s="1164"/>
      <c r="T100" s="1164"/>
      <c r="U100" s="1164"/>
      <c r="V100" s="1164"/>
      <c r="W100" s="1164"/>
      <c r="X100" s="1164"/>
      <c r="Y100" s="1498"/>
      <c r="Z100" s="1498"/>
      <c r="AF100" s="630" t="s">
        <v>671</v>
      </c>
      <c r="AG100" s="630"/>
      <c r="AH100" s="630"/>
      <c r="AI100" s="630"/>
      <c r="AJ100" s="630"/>
      <c r="AK100" s="630"/>
      <c r="AL100" s="630"/>
      <c r="AM100" s="630"/>
      <c r="AN100" s="630"/>
      <c r="AO100" s="630"/>
      <c r="AP100" s="630"/>
      <c r="AQ100" s="630"/>
      <c r="AT100" s="630" t="s">
        <v>586</v>
      </c>
      <c r="AU100" s="630"/>
      <c r="AV100" s="630"/>
      <c r="AW100" s="630"/>
      <c r="AX100" s="630"/>
      <c r="AY100" s="630"/>
      <c r="AZ100" s="630"/>
      <c r="BA100" s="630"/>
      <c r="BB100" s="630"/>
    </row>
    <row r="101" spans="1:55" x14ac:dyDescent="0.2">
      <c r="V101" s="1450"/>
      <c r="AF101" s="630" t="s">
        <v>671</v>
      </c>
      <c r="AG101" s="630"/>
      <c r="AH101" s="630"/>
      <c r="AI101" s="630"/>
      <c r="AJ101" s="630"/>
      <c r="AK101" s="630"/>
      <c r="AL101" s="630"/>
      <c r="AM101" s="630"/>
      <c r="AN101" s="630"/>
      <c r="AO101" s="630"/>
      <c r="AP101" s="630"/>
      <c r="AQ101" s="630"/>
      <c r="AT101" s="630" t="s">
        <v>587</v>
      </c>
      <c r="AU101" s="630"/>
      <c r="AV101" s="630"/>
      <c r="AW101" s="630"/>
      <c r="AX101" s="630"/>
      <c r="AY101" s="630"/>
      <c r="AZ101" s="630"/>
      <c r="BA101" s="630"/>
      <c r="BB101" s="630"/>
    </row>
    <row r="102" spans="1:55" x14ac:dyDescent="0.2">
      <c r="V102" s="1450"/>
      <c r="AF102" s="630"/>
      <c r="AG102" s="630"/>
      <c r="AH102" s="630"/>
      <c r="AI102" s="630"/>
      <c r="AJ102" s="630"/>
      <c r="AK102" s="630"/>
      <c r="AL102" s="630"/>
      <c r="AM102" s="630"/>
      <c r="AN102" s="630"/>
      <c r="AO102" s="630"/>
      <c r="AP102" s="630"/>
      <c r="AQ102" s="630"/>
      <c r="AT102" s="630"/>
      <c r="AU102" s="630"/>
      <c r="AV102" s="630"/>
      <c r="AW102" s="630"/>
      <c r="AX102" s="630"/>
      <c r="AY102" s="630"/>
      <c r="AZ102" s="630"/>
      <c r="BA102" s="630"/>
      <c r="BB102" s="630"/>
    </row>
    <row r="103" spans="1:55" x14ac:dyDescent="0.2">
      <c r="V103" s="1450"/>
      <c r="AF103" s="630"/>
      <c r="AG103" s="630"/>
      <c r="AH103" s="630"/>
      <c r="AI103" s="630"/>
      <c r="AJ103" s="630"/>
      <c r="AK103" s="630"/>
      <c r="AL103" s="630"/>
      <c r="AM103" s="630"/>
      <c r="AN103" s="630"/>
      <c r="AO103" s="630"/>
      <c r="AP103" s="630"/>
      <c r="AQ103" s="630"/>
      <c r="AT103" s="630"/>
      <c r="AU103" s="630"/>
      <c r="AV103" s="630"/>
      <c r="AW103" s="630"/>
      <c r="AX103" s="630"/>
      <c r="AY103" s="630"/>
      <c r="AZ103" s="630"/>
      <c r="BA103" s="630"/>
      <c r="BB103" s="630"/>
    </row>
    <row r="104" spans="1:55" x14ac:dyDescent="0.2">
      <c r="V104" s="1450"/>
      <c r="AF104" s="850" t="s">
        <v>905</v>
      </c>
      <c r="AG104" s="630"/>
      <c r="AH104" s="630"/>
      <c r="AI104" s="630"/>
      <c r="AJ104" s="850" t="s">
        <v>911</v>
      </c>
      <c r="AK104" s="630"/>
      <c r="AL104" s="630"/>
      <c r="AM104" s="630"/>
      <c r="AN104" s="630"/>
      <c r="AO104" s="630"/>
      <c r="AP104" s="630"/>
      <c r="AQ104" s="630"/>
      <c r="AR104" s="623" t="e">
        <f>K38-K62</f>
        <v>#N/A</v>
      </c>
      <c r="AT104" s="850" t="s">
        <v>908</v>
      </c>
      <c r="AU104" s="630"/>
      <c r="AV104" s="630"/>
      <c r="AW104" s="630"/>
      <c r="AX104" s="630"/>
      <c r="AY104" s="630"/>
      <c r="AZ104" s="630"/>
      <c r="BA104" s="630"/>
      <c r="BB104" s="630"/>
      <c r="BC104" s="623">
        <f>V38-V62</f>
        <v>-172.23772641286922</v>
      </c>
    </row>
    <row r="105" spans="1:55" x14ac:dyDescent="0.2">
      <c r="V105" s="1450"/>
      <c r="AF105" s="630" t="s">
        <v>906</v>
      </c>
      <c r="AG105" s="630"/>
      <c r="AH105" s="630"/>
      <c r="AI105" s="630"/>
      <c r="AJ105" s="630" t="s">
        <v>909</v>
      </c>
      <c r="AK105" s="630"/>
      <c r="AL105" s="630"/>
      <c r="AM105" s="630"/>
      <c r="AN105" s="630"/>
      <c r="AO105" s="630"/>
      <c r="AP105" s="630"/>
      <c r="AQ105" s="630"/>
      <c r="AR105" s="630" t="s">
        <v>672</v>
      </c>
      <c r="AT105" s="630" t="s">
        <v>669</v>
      </c>
      <c r="AU105" s="630"/>
      <c r="AV105" s="630"/>
      <c r="AW105" s="630"/>
      <c r="AX105" s="630"/>
      <c r="AY105" s="630"/>
      <c r="AZ105" s="630"/>
      <c r="BA105" s="630"/>
      <c r="BB105" s="630"/>
      <c r="BC105" s="630" t="s">
        <v>672</v>
      </c>
    </row>
    <row r="106" spans="1:55" x14ac:dyDescent="0.2">
      <c r="V106" s="1450"/>
      <c r="AF106" s="630" t="s">
        <v>907</v>
      </c>
      <c r="AG106" s="630"/>
      <c r="AH106" s="630"/>
      <c r="AI106" s="630"/>
      <c r="AJ106" s="630"/>
      <c r="AK106" s="630"/>
      <c r="AL106" s="630"/>
      <c r="AM106" s="630"/>
      <c r="AN106" s="630"/>
      <c r="AO106" s="630"/>
      <c r="AP106" s="630"/>
      <c r="AQ106" s="630"/>
      <c r="AT106" s="630" t="s">
        <v>670</v>
      </c>
      <c r="AU106" s="630"/>
      <c r="AV106" s="630"/>
      <c r="AW106" s="630"/>
      <c r="AX106" s="630"/>
      <c r="AY106" s="630"/>
      <c r="AZ106" s="630"/>
      <c r="BA106" s="630"/>
      <c r="BB106" s="630"/>
    </row>
    <row r="107" spans="1:55" x14ac:dyDescent="0.2">
      <c r="V107" s="1450"/>
      <c r="AF107" s="630" t="s">
        <v>671</v>
      </c>
      <c r="AG107" s="630"/>
      <c r="AH107" s="630"/>
      <c r="AI107" s="630"/>
      <c r="AJ107" s="630"/>
      <c r="AK107" s="630"/>
      <c r="AL107" s="630"/>
      <c r="AM107" s="630"/>
      <c r="AN107" s="630"/>
      <c r="AO107" s="630"/>
      <c r="AP107" s="630"/>
      <c r="AQ107" s="630"/>
      <c r="AS107" s="1105">
        <f>Paramètres!AJ73</f>
        <v>200</v>
      </c>
      <c r="AT107" s="630" t="str">
        <f>AS107&amp;" mg / kg terre"</f>
        <v>200 mg / kg terre</v>
      </c>
      <c r="AU107" s="630"/>
      <c r="AV107" s="630"/>
      <c r="AW107" s="630"/>
      <c r="AX107" s="630"/>
      <c r="AY107" s="630"/>
      <c r="AZ107" s="630"/>
      <c r="BA107" s="630"/>
      <c r="BB107" s="630"/>
    </row>
    <row r="108" spans="1:55" x14ac:dyDescent="0.2">
      <c r="V108" s="1450"/>
      <c r="AF108" s="630" t="s">
        <v>671</v>
      </c>
      <c r="AG108" s="630"/>
      <c r="AH108" s="630"/>
      <c r="AI108" s="630"/>
      <c r="AJ108" s="630"/>
      <c r="AK108" s="630"/>
      <c r="AL108" s="630"/>
      <c r="AM108" s="630"/>
      <c r="AN108" s="630"/>
      <c r="AO108" s="630"/>
      <c r="AP108" s="630"/>
      <c r="AQ108" s="630"/>
      <c r="AT108" s="630" t="s">
        <v>588</v>
      </c>
      <c r="AW108" s="630"/>
      <c r="AX108" s="630"/>
      <c r="AY108" s="630"/>
      <c r="AZ108" s="630"/>
      <c r="BA108" s="630"/>
      <c r="BB108" s="630"/>
    </row>
    <row r="109" spans="1:55" x14ac:dyDescent="0.2">
      <c r="V109" s="1450"/>
      <c r="AF109" t="s">
        <v>671</v>
      </c>
      <c r="AT109" s="630" t="s">
        <v>589</v>
      </c>
    </row>
    <row r="110" spans="1:55" x14ac:dyDescent="0.2">
      <c r="V110" s="1450"/>
      <c r="AF110" t="s">
        <v>671</v>
      </c>
      <c r="AT110" s="630" t="s">
        <v>590</v>
      </c>
    </row>
    <row r="111" spans="1:55" x14ac:dyDescent="0.2">
      <c r="V111" s="1450"/>
    </row>
    <row r="112" spans="1:55" x14ac:dyDescent="0.2">
      <c r="V112" s="1450"/>
    </row>
    <row r="113" spans="22:22" x14ac:dyDescent="0.2">
      <c r="V113" s="1450"/>
    </row>
    <row r="114" spans="22:22" x14ac:dyDescent="0.2">
      <c r="V114" s="1450"/>
    </row>
    <row r="115" spans="22:22" x14ac:dyDescent="0.2">
      <c r="V115" s="1450"/>
    </row>
    <row r="116" spans="22:22" x14ac:dyDescent="0.2">
      <c r="V116" s="1450"/>
    </row>
    <row r="117" spans="22:22" x14ac:dyDescent="0.2">
      <c r="V117" s="1450"/>
    </row>
    <row r="118" spans="22:22" x14ac:dyDescent="0.2">
      <c r="V118" s="605"/>
    </row>
    <row r="119" spans="22:22" x14ac:dyDescent="0.2">
      <c r="V119" s="605"/>
    </row>
    <row r="120" spans="22:22" x14ac:dyDescent="0.2">
      <c r="V120" s="605"/>
    </row>
    <row r="121" spans="22:22" x14ac:dyDescent="0.2">
      <c r="V121" s="605"/>
    </row>
    <row r="122" spans="22:22" x14ac:dyDescent="0.2">
      <c r="V122" s="605"/>
    </row>
    <row r="123" spans="22:22" x14ac:dyDescent="0.2">
      <c r="V123" s="605"/>
    </row>
    <row r="124" spans="22:22" x14ac:dyDescent="0.2">
      <c r="V124" s="605"/>
    </row>
    <row r="125" spans="22:22" x14ac:dyDescent="0.2">
      <c r="V125" s="605"/>
    </row>
    <row r="126" spans="22:22" x14ac:dyDescent="0.2">
      <c r="V126" s="605"/>
    </row>
    <row r="127" spans="22:22" x14ac:dyDescent="0.2">
      <c r="V127" s="605"/>
    </row>
    <row r="128" spans="22:22" x14ac:dyDescent="0.2">
      <c r="V128" s="605"/>
    </row>
    <row r="129" spans="22:22" x14ac:dyDescent="0.2">
      <c r="V129" s="605"/>
    </row>
    <row r="130" spans="22:22" x14ac:dyDescent="0.2">
      <c r="V130" s="605"/>
    </row>
    <row r="131" spans="22:22" x14ac:dyDescent="0.2">
      <c r="V131" s="605"/>
    </row>
    <row r="132" spans="22:22" x14ac:dyDescent="0.2">
      <c r="V132" s="605"/>
    </row>
    <row r="133" spans="22:22" x14ac:dyDescent="0.2">
      <c r="V133" s="605"/>
    </row>
    <row r="134" spans="22:22" x14ac:dyDescent="0.2">
      <c r="V134" s="605"/>
    </row>
    <row r="135" spans="22:22" x14ac:dyDescent="0.2">
      <c r="V135" s="605"/>
    </row>
    <row r="136" spans="22:22" x14ac:dyDescent="0.2">
      <c r="V136" s="605"/>
    </row>
    <row r="137" spans="22:22" x14ac:dyDescent="0.2">
      <c r="V137" s="605"/>
    </row>
    <row r="138" spans="22:22" x14ac:dyDescent="0.2">
      <c r="V138" s="605"/>
    </row>
    <row r="139" spans="22:22" x14ac:dyDescent="0.2">
      <c r="V139" s="605"/>
    </row>
    <row r="140" spans="22:22" x14ac:dyDescent="0.2">
      <c r="V140" s="605"/>
    </row>
    <row r="141" spans="22:22" x14ac:dyDescent="0.2">
      <c r="V141" s="605"/>
    </row>
    <row r="142" spans="22:22" x14ac:dyDescent="0.2">
      <c r="V142" s="605"/>
    </row>
    <row r="143" spans="22:22" x14ac:dyDescent="0.2">
      <c r="V143" s="605"/>
    </row>
    <row r="144" spans="22:22" x14ac:dyDescent="0.2">
      <c r="V144" s="605"/>
    </row>
    <row r="145" spans="22:22" x14ac:dyDescent="0.2">
      <c r="V145" s="605"/>
    </row>
    <row r="146" spans="22:22" x14ac:dyDescent="0.2">
      <c r="V146" s="605"/>
    </row>
    <row r="147" spans="22:22" x14ac:dyDescent="0.2">
      <c r="V147" s="605"/>
    </row>
    <row r="148" spans="22:22" x14ac:dyDescent="0.2">
      <c r="V148" s="605"/>
    </row>
    <row r="149" spans="22:22" x14ac:dyDescent="0.2">
      <c r="V149" s="605"/>
    </row>
    <row r="150" spans="22:22" x14ac:dyDescent="0.2">
      <c r="V150" s="605"/>
    </row>
    <row r="151" spans="22:22" x14ac:dyDescent="0.2">
      <c r="V151" s="605"/>
    </row>
    <row r="152" spans="22:22" x14ac:dyDescent="0.2">
      <c r="V152" s="605"/>
    </row>
    <row r="153" spans="22:22" x14ac:dyDescent="0.2">
      <c r="V153" s="605"/>
    </row>
    <row r="154" spans="22:22" x14ac:dyDescent="0.2">
      <c r="V154" s="605"/>
    </row>
    <row r="155" spans="22:22" x14ac:dyDescent="0.2">
      <c r="V155" s="605"/>
    </row>
    <row r="156" spans="22:22" x14ac:dyDescent="0.2">
      <c r="V156" s="605"/>
    </row>
    <row r="157" spans="22:22" x14ac:dyDescent="0.2">
      <c r="V157" s="605"/>
    </row>
    <row r="158" spans="22:22" x14ac:dyDescent="0.2">
      <c r="V158" s="605"/>
    </row>
    <row r="159" spans="22:22" x14ac:dyDescent="0.2">
      <c r="V159" s="605"/>
    </row>
    <row r="160" spans="22:22" x14ac:dyDescent="0.2">
      <c r="V160" s="605"/>
    </row>
    <row r="161" spans="22:22" x14ac:dyDescent="0.2">
      <c r="V161" s="605"/>
    </row>
    <row r="162" spans="22:22" x14ac:dyDescent="0.2">
      <c r="V162" s="605"/>
    </row>
    <row r="163" spans="22:22" x14ac:dyDescent="0.2">
      <c r="V163" s="605"/>
    </row>
    <row r="164" spans="22:22" x14ac:dyDescent="0.2">
      <c r="V164" s="605"/>
    </row>
    <row r="165" spans="22:22" x14ac:dyDescent="0.2">
      <c r="V165" s="605"/>
    </row>
    <row r="166" spans="22:22" x14ac:dyDescent="0.2">
      <c r="V166" s="605"/>
    </row>
    <row r="167" spans="22:22" x14ac:dyDescent="0.2">
      <c r="V167" s="605"/>
    </row>
    <row r="168" spans="22:22" x14ac:dyDescent="0.2">
      <c r="V168" s="605"/>
    </row>
    <row r="169" spans="22:22" x14ac:dyDescent="0.2">
      <c r="V169" s="605"/>
    </row>
    <row r="170" spans="22:22" x14ac:dyDescent="0.2">
      <c r="V170" s="605"/>
    </row>
    <row r="171" spans="22:22" x14ac:dyDescent="0.2">
      <c r="V171" s="605"/>
    </row>
    <row r="172" spans="22:22" x14ac:dyDescent="0.2">
      <c r="V172" s="605"/>
    </row>
    <row r="173" spans="22:22" x14ac:dyDescent="0.2">
      <c r="V173" s="605"/>
    </row>
    <row r="174" spans="22:22" x14ac:dyDescent="0.2">
      <c r="V174" s="605"/>
    </row>
    <row r="175" spans="22:22" x14ac:dyDescent="0.2">
      <c r="V175" s="605"/>
    </row>
    <row r="176" spans="22:22" x14ac:dyDescent="0.2">
      <c r="V176" s="605"/>
    </row>
    <row r="177" spans="22:22" x14ac:dyDescent="0.2">
      <c r="V177" s="605"/>
    </row>
    <row r="178" spans="22:22" x14ac:dyDescent="0.2">
      <c r="V178" s="605"/>
    </row>
    <row r="179" spans="22:22" x14ac:dyDescent="0.2">
      <c r="V179" s="605"/>
    </row>
    <row r="180" spans="22:22" x14ac:dyDescent="0.2">
      <c r="V180" s="605"/>
    </row>
    <row r="181" spans="22:22" x14ac:dyDescent="0.2">
      <c r="V181" s="605"/>
    </row>
    <row r="182" spans="22:22" x14ac:dyDescent="0.2">
      <c r="V182" s="605"/>
    </row>
    <row r="183" spans="22:22" x14ac:dyDescent="0.2">
      <c r="V183" s="605"/>
    </row>
    <row r="184" spans="22:22" x14ac:dyDescent="0.2">
      <c r="V184" s="605"/>
    </row>
    <row r="185" spans="22:22" x14ac:dyDescent="0.2">
      <c r="V185" s="605"/>
    </row>
    <row r="186" spans="22:22" x14ac:dyDescent="0.2">
      <c r="V186" s="605"/>
    </row>
    <row r="187" spans="22:22" x14ac:dyDescent="0.2">
      <c r="V187" s="605"/>
    </row>
  </sheetData>
  <sheetProtection algorithmName="SHA-512" hashValue="xgERG6J2AFTKIr998590S2BvDbfpsNZ4SaltqrooKmUEk3sdGVHMRfElbokIH4D3hj+v3WSMDKYfuud8bam8EQ==" saltValue="ZfhrLkvzhdSDu7KaSd/KdA==" spinCount="100000" sheet="1" objects="1" scenarios="1"/>
  <mergeCells count="100">
    <mergeCell ref="AG68:AI68"/>
    <mergeCell ref="AK68:AP68"/>
    <mergeCell ref="AR68:AW68"/>
    <mergeCell ref="AX33:BA33"/>
    <mergeCell ref="AR70:AT70"/>
    <mergeCell ref="AU70:AW70"/>
    <mergeCell ref="AN70:AP70"/>
    <mergeCell ref="AK70:AM70"/>
    <mergeCell ref="AN33:AQ33"/>
    <mergeCell ref="AY68:BA68"/>
    <mergeCell ref="N68:R69"/>
    <mergeCell ref="E60:G60"/>
    <mergeCell ref="C56:G56"/>
    <mergeCell ref="P60:R60"/>
    <mergeCell ref="E59:G59"/>
    <mergeCell ref="M65:S65"/>
    <mergeCell ref="M64:S64"/>
    <mergeCell ref="B65:H65"/>
    <mergeCell ref="B64:H64"/>
    <mergeCell ref="C69:G69"/>
    <mergeCell ref="C68:G68"/>
    <mergeCell ref="M66:S66"/>
    <mergeCell ref="B66:H66"/>
    <mergeCell ref="I59:K59"/>
    <mergeCell ref="P59:R59"/>
    <mergeCell ref="N56:R56"/>
    <mergeCell ref="I60:K60"/>
    <mergeCell ref="C52:G52"/>
    <mergeCell ref="C53:G53"/>
    <mergeCell ref="N52:R52"/>
    <mergeCell ref="N53:R53"/>
    <mergeCell ref="N54:R54"/>
    <mergeCell ref="C54:G54"/>
    <mergeCell ref="C55:G55"/>
    <mergeCell ref="C57:G57"/>
    <mergeCell ref="C58:G58"/>
    <mergeCell ref="N57:R57"/>
    <mergeCell ref="N58:R58"/>
    <mergeCell ref="N55:R55"/>
    <mergeCell ref="T59:V59"/>
    <mergeCell ref="T60:V60"/>
    <mergeCell ref="E20:G20"/>
    <mergeCell ref="P20:R20"/>
    <mergeCell ref="E22:F22"/>
    <mergeCell ref="E24:G24"/>
    <mergeCell ref="P24:R24"/>
    <mergeCell ref="E49:F49"/>
    <mergeCell ref="P49:Q49"/>
    <mergeCell ref="C51:G51"/>
    <mergeCell ref="M26:P26"/>
    <mergeCell ref="B43:E43"/>
    <mergeCell ref="M43:P43"/>
    <mergeCell ref="B35:E35"/>
    <mergeCell ref="C36:E36"/>
    <mergeCell ref="C37:E37"/>
    <mergeCell ref="C11:E11"/>
    <mergeCell ref="P22:Q22"/>
    <mergeCell ref="C17:E17"/>
    <mergeCell ref="B18:E18"/>
    <mergeCell ref="M14:P14"/>
    <mergeCell ref="B16:F16"/>
    <mergeCell ref="N17:P17"/>
    <mergeCell ref="N11:P11"/>
    <mergeCell ref="M18:P18"/>
    <mergeCell ref="M16:Q16"/>
    <mergeCell ref="B14:E14"/>
    <mergeCell ref="D1:E1"/>
    <mergeCell ref="B5:K5"/>
    <mergeCell ref="F8:H8"/>
    <mergeCell ref="F9:H9"/>
    <mergeCell ref="C9:E9"/>
    <mergeCell ref="B3:V3"/>
    <mergeCell ref="Q8:S8"/>
    <mergeCell ref="B8:E8"/>
    <mergeCell ref="M5:V5"/>
    <mergeCell ref="M6:V6"/>
    <mergeCell ref="M8:P8"/>
    <mergeCell ref="N9:P9"/>
    <mergeCell ref="Q9:S9"/>
    <mergeCell ref="G1:P1"/>
    <mergeCell ref="B32:G32"/>
    <mergeCell ref="M32:R32"/>
    <mergeCell ref="M44:P44"/>
    <mergeCell ref="N51:R51"/>
    <mergeCell ref="C38:H38"/>
    <mergeCell ref="N38:S38"/>
    <mergeCell ref="C47:I47"/>
    <mergeCell ref="B44:E44"/>
    <mergeCell ref="C45:I45"/>
    <mergeCell ref="C46:I46"/>
    <mergeCell ref="M35:P35"/>
    <mergeCell ref="N36:P36"/>
    <mergeCell ref="P37:S37"/>
    <mergeCell ref="N92:R92"/>
    <mergeCell ref="C91:G91"/>
    <mergeCell ref="N70:R71"/>
    <mergeCell ref="C70:G70"/>
    <mergeCell ref="C71:G71"/>
    <mergeCell ref="C72:G72"/>
    <mergeCell ref="N91:R91"/>
  </mergeCells>
  <phoneticPr fontId="14" type="noConversion"/>
  <conditionalFormatting sqref="AR104 AR94 BC94 BC104">
    <cfRule type="expression" dxfId="79" priority="21" stopIfTrue="1">
      <formula>IF(ISERROR(AR94),TRUE,FALSE)</formula>
    </cfRule>
  </conditionalFormatting>
  <conditionalFormatting sqref="C62">
    <cfRule type="expression" dxfId="78" priority="31" stopIfTrue="1">
      <formula>IF($BC$71=0,TRUE,FALSE)</formula>
    </cfRule>
  </conditionalFormatting>
  <conditionalFormatting sqref="N62">
    <cfRule type="expression" dxfId="77" priority="32" stopIfTrue="1">
      <formula>IF($BC$72=0,TRUE,FALSE)</formula>
    </cfRule>
  </conditionalFormatting>
  <conditionalFormatting sqref="I69">
    <cfRule type="expression" dxfId="76" priority="30" stopIfTrue="1">
      <formula>IF(I69&lt;0,TRUE,FALSE)</formula>
    </cfRule>
  </conditionalFormatting>
  <conditionalFormatting sqref="T69">
    <cfRule type="expression" dxfId="75" priority="29" stopIfTrue="1">
      <formula>IF(T69&lt;0,TRUE,FALSE)</formula>
    </cfRule>
  </conditionalFormatting>
  <conditionalFormatting sqref="I97:I99">
    <cfRule type="expression" dxfId="74" priority="13" stopIfTrue="1">
      <formula>IF(I97&lt;0,TRUE,FALSE)</formula>
    </cfRule>
  </conditionalFormatting>
  <conditionalFormatting sqref="M32">
    <cfRule type="expression" dxfId="73" priority="6" stopIfTrue="1">
      <formula>IF(ISBLANK(M32),TRUE,FALSE)</formula>
    </cfRule>
  </conditionalFormatting>
  <conditionalFormatting sqref="T33">
    <cfRule type="expression" dxfId="72" priority="4" stopIfTrue="1">
      <formula>IF(ISBLANK(T33),TRUE,FALSE)</formula>
    </cfRule>
    <cfRule type="expression" dxfId="71" priority="5" stopIfTrue="1">
      <formula>IF(ISERROR(T33),TRUE,FALSE)</formula>
    </cfRule>
  </conditionalFormatting>
  <conditionalFormatting sqref="B32">
    <cfRule type="expression" dxfId="70" priority="9" stopIfTrue="1">
      <formula>IF(ISBLANK(B32),TRUE,FALSE)</formula>
    </cfRule>
  </conditionalFormatting>
  <conditionalFormatting sqref="I33">
    <cfRule type="expression" dxfId="69" priority="7" stopIfTrue="1">
      <formula>IF(ISBLANK(I33),TRUE,FALSE)</formula>
    </cfRule>
    <cfRule type="expression" dxfId="68" priority="8" stopIfTrue="1">
      <formula>IF(ISERROR(I33),TRUE,FALSE)</formula>
    </cfRule>
  </conditionalFormatting>
  <conditionalFormatting sqref="T97">
    <cfRule type="expression" dxfId="67" priority="3" stopIfTrue="1">
      <formula>IF(T97&lt;0,TRUE,FALSE)</formula>
    </cfRule>
  </conditionalFormatting>
  <conditionalFormatting sqref="T98:T99">
    <cfRule type="expression" dxfId="66" priority="2" stopIfTrue="1">
      <formula>IF(T98&lt;0,TRUE,FALSE)</formula>
    </cfRule>
  </conditionalFormatting>
  <conditionalFormatting sqref="T91">
    <cfRule type="cellIs" dxfId="65" priority="1" operator="lessThan">
      <formula>0</formula>
    </cfRule>
  </conditionalFormatting>
  <dataValidations disablePrompts="1" count="11">
    <dataValidation type="list" allowBlank="1" showInputMessage="1" showErrorMessage="1" sqref="C62">
      <formula1>OFFSET($AA$71:$AA$73,0,0,COUNTIF($AA$71:$AA$73,"&lt;&gt;."))</formula1>
    </dataValidation>
    <dataValidation type="list" allowBlank="1" showInputMessage="1" showErrorMessage="1" sqref="N62">
      <formula1>OFFSET($AA$77:$AA$79,0,0,COUNTIF($AA$77:$AA$79,"&lt;&gt;."))</formula1>
    </dataValidation>
    <dataValidation type="list" allowBlank="1" showInputMessage="1" showErrorMessage="1" sqref="E49:F49 P49:Q49">
      <formula1>$AA$43:$AA$47</formula1>
    </dataValidation>
    <dataValidation type="list" allowBlank="1" showInputMessage="1" showErrorMessage="1" sqref="E20:G20 P20:R20">
      <formula1>$AJ$20:$AJ$22</formula1>
    </dataValidation>
    <dataValidation type="list" allowBlank="1" showInputMessage="1" showErrorMessage="1" sqref="E22:F22 P22:Q22">
      <formula1>$AO$20:$AO$21</formula1>
    </dataValidation>
    <dataValidation type="list" allowBlank="1" showInputMessage="1" showErrorMessage="1" sqref="E24:G24 P24:R24">
      <formula1>$AT$20:$AT$22</formula1>
    </dataValidation>
    <dataValidation type="list" allowBlank="1" showInputMessage="1" showErrorMessage="1" sqref="C11:E11">
      <formula1>$AA$11:$AA$15</formula1>
    </dataValidation>
    <dataValidation type="list" allowBlank="1" showInputMessage="1" showErrorMessage="1" sqref="N11:P11">
      <formula1>$AI$11:$AI$14</formula1>
    </dataValidation>
    <dataValidation type="list" allowBlank="1" showInputMessage="1" showErrorMessage="1" sqref="P28">
      <formula1>$AJ$56:$AJ$61</formula1>
    </dataValidation>
    <dataValidation type="list" allowBlank="1" showInputMessage="1" showErrorMessage="1" sqref="P30">
      <formula1>$AO$56:$AO$59</formula1>
    </dataValidation>
    <dataValidation type="list" allowBlank="1" showInputMessage="1" showErrorMessage="1" sqref="D1:E1">
      <formula1>$AF$3:$AF$5</formula1>
    </dataValidation>
  </dataValidations>
  <hyperlinks>
    <hyperlink ref="G1:O1" location="Ferti_SAU!A6" display="Une fois vos calculs termines, Transférez les doses retenues sur Ferti_SAU"/>
  </hyperlinks>
  <pageMargins left="1.66" right="1.1200000000000001" top="0.984251969" bottom="0.984251969" header="0.4921259845" footer="0.4921259845"/>
  <pageSetup paperSize="9" scale="28" fitToWidth="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310" r:id="rId4" name="Button 110">
              <controlPr defaultSize="0" print="0" autoFill="0" autoPict="0" macro="[0]!Efface_Graminees">
                <anchor moveWithCells="1" sizeWithCells="1">
                  <from>
                    <xdr:col>2</xdr:col>
                    <xdr:colOff>1209675</xdr:colOff>
                    <xdr:row>3</xdr:row>
                    <xdr:rowOff>38100</xdr:rowOff>
                  </from>
                  <to>
                    <xdr:col>8</xdr:col>
                    <xdr:colOff>66675</xdr:colOff>
                    <xdr:row>3</xdr:row>
                    <xdr:rowOff>257175</xdr:rowOff>
                  </to>
                </anchor>
              </controlPr>
            </control>
          </mc:Choice>
        </mc:AlternateContent>
        <mc:AlternateContent xmlns:mc="http://schemas.openxmlformats.org/markup-compatibility/2006">
          <mc:Choice Requires="x14">
            <control shapeId="51311" r:id="rId5" name="Button 111">
              <controlPr defaultSize="0" print="0" autoFill="0" autoPict="0" macro="[0]!Efface_Associations">
                <anchor moveWithCells="1" sizeWithCells="1">
                  <from>
                    <xdr:col>13</xdr:col>
                    <xdr:colOff>962025</xdr:colOff>
                    <xdr:row>3</xdr:row>
                    <xdr:rowOff>47625</xdr:rowOff>
                  </from>
                  <to>
                    <xdr:col>19</xdr:col>
                    <xdr:colOff>171450</xdr:colOff>
                    <xdr:row>3</xdr:row>
                    <xdr:rowOff>257175</xdr:rowOff>
                  </to>
                </anchor>
              </controlPr>
            </control>
          </mc:Choice>
        </mc:AlternateContent>
        <mc:AlternateContent xmlns:mc="http://schemas.openxmlformats.org/markup-compatibility/2006">
          <mc:Choice Requires="x14">
            <control shapeId="51317" r:id="rId6" name="Button 117">
              <controlPr defaultSize="0" print="0" autoFill="0" autoPict="0" macro="[0]!Retour_Presentation">
                <anchor moveWithCells="1" sizeWithCells="1">
                  <from>
                    <xdr:col>16</xdr:col>
                    <xdr:colOff>190500</xdr:colOff>
                    <xdr:row>0</xdr:row>
                    <xdr:rowOff>0</xdr:rowOff>
                  </from>
                  <to>
                    <xdr:col>20</xdr:col>
                    <xdr:colOff>276225</xdr:colOff>
                    <xdr:row>2</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4">
    <tabColor theme="4" tint="-0.249977111117893"/>
    <pageSetUpPr fitToPage="1"/>
  </sheetPr>
  <dimension ref="A1:BZ173"/>
  <sheetViews>
    <sheetView workbookViewId="0">
      <selection activeCell="D8" sqref="D8"/>
    </sheetView>
  </sheetViews>
  <sheetFormatPr baseColWidth="10" defaultRowHeight="12.75" x14ac:dyDescent="0.2"/>
  <cols>
    <col min="1" max="1" width="1.85546875" customWidth="1"/>
    <col min="2" max="2" width="14.42578125" customWidth="1"/>
    <col min="3" max="3" width="2.5703125" customWidth="1"/>
    <col min="4" max="4" width="30.28515625" customWidth="1"/>
    <col min="5" max="5" width="8.85546875" customWidth="1"/>
    <col min="6" max="6" width="15.42578125" customWidth="1"/>
    <col min="7" max="7" width="14.140625" bestFit="1" customWidth="1"/>
    <col min="8" max="8" width="14.42578125" customWidth="1"/>
    <col min="9" max="9" width="2.85546875" customWidth="1"/>
    <col min="10" max="12" width="9" customWidth="1"/>
    <col min="13" max="13" width="22.85546875" customWidth="1"/>
    <col min="15" max="25" width="4.7109375" customWidth="1"/>
    <col min="26" max="26" width="4.42578125" customWidth="1"/>
    <col min="27" max="28" width="8.140625" hidden="1" customWidth="1"/>
    <col min="29" max="29" width="9" hidden="1" customWidth="1"/>
    <col min="30" max="30" width="5.42578125" hidden="1" customWidth="1"/>
    <col min="31" max="33" width="7.42578125" hidden="1" customWidth="1"/>
    <col min="34" max="34" width="5" hidden="1" customWidth="1"/>
    <col min="35" max="35" width="22.140625" hidden="1" customWidth="1"/>
    <col min="36" max="38" width="14.140625" hidden="1" customWidth="1"/>
    <col min="39" max="43" width="13.28515625" hidden="1" customWidth="1"/>
    <col min="44" max="44" width="13" hidden="1" customWidth="1"/>
    <col min="45" max="46" width="14.5703125" hidden="1" customWidth="1"/>
    <col min="47" max="47" width="13.42578125" hidden="1" customWidth="1"/>
    <col min="48" max="50" width="14.5703125" hidden="1" customWidth="1"/>
    <col min="51" max="51" width="71.5703125" hidden="1" customWidth="1"/>
    <col min="52" max="52" width="4.5703125" hidden="1" customWidth="1"/>
    <col min="53" max="53" width="10.42578125" hidden="1" customWidth="1"/>
    <col min="54" max="54" width="38.140625" hidden="1" customWidth="1"/>
    <col min="55" max="55" width="42.28515625" hidden="1" customWidth="1"/>
    <col min="56" max="56" width="33.7109375" hidden="1" customWidth="1"/>
    <col min="57" max="57" width="23.42578125" hidden="1" customWidth="1"/>
    <col min="58" max="58" width="38.140625" hidden="1" customWidth="1"/>
    <col min="59" max="59" width="22.28515625" hidden="1" customWidth="1"/>
    <col min="60" max="60" width="15.7109375" hidden="1" customWidth="1"/>
    <col min="61" max="62" width="5.5703125" hidden="1" customWidth="1"/>
    <col min="63" max="63" width="4.5703125" hidden="1" customWidth="1"/>
    <col min="64" max="67" width="5.5703125" hidden="1" customWidth="1"/>
    <col min="68" max="68" width="4.5703125" hidden="1" customWidth="1"/>
    <col min="69" max="72" width="5.5703125" hidden="1" customWidth="1"/>
    <col min="73" max="73" width="4.5703125" hidden="1" customWidth="1"/>
    <col min="74" max="77" width="5.5703125" hidden="1" customWidth="1"/>
    <col min="78" max="78" width="11.42578125" hidden="1" customWidth="1"/>
  </cols>
  <sheetData>
    <row r="1" spans="1:63" ht="20.100000000000001" customHeight="1" x14ac:dyDescent="0.2">
      <c r="A1" s="1166"/>
      <c r="B1" s="1166"/>
      <c r="C1" s="1166"/>
      <c r="D1" s="1166"/>
      <c r="E1" s="1166"/>
      <c r="F1" s="1166"/>
      <c r="G1" s="1166"/>
      <c r="H1" s="1166"/>
      <c r="I1" s="1166"/>
      <c r="J1" s="1166"/>
      <c r="K1" s="1166"/>
      <c r="L1" s="1166"/>
      <c r="M1" s="1166"/>
      <c r="N1" s="1807"/>
      <c r="O1" s="1807"/>
      <c r="P1" s="1807"/>
      <c r="Q1" s="1807"/>
      <c r="R1" s="1807"/>
      <c r="S1" s="1807"/>
      <c r="T1" s="1807"/>
      <c r="U1" s="1807"/>
      <c r="V1" s="1807"/>
      <c r="W1" s="1807"/>
      <c r="X1" s="1807"/>
      <c r="Y1" s="1807"/>
      <c r="Z1" s="1498"/>
      <c r="BI1" s="1821" t="s">
        <v>625</v>
      </c>
      <c r="BJ1" s="1821" t="s">
        <v>187</v>
      </c>
      <c r="BK1" s="1821" t="s">
        <v>665</v>
      </c>
    </row>
    <row r="2" spans="1:63" ht="18" x14ac:dyDescent="0.2">
      <c r="A2" s="1166"/>
      <c r="B2" s="3281" t="s">
        <v>676</v>
      </c>
      <c r="C2" s="3281"/>
      <c r="D2" s="3281"/>
      <c r="E2" s="3281"/>
      <c r="F2" s="3281"/>
      <c r="G2" s="3281"/>
      <c r="H2" s="3281"/>
      <c r="I2" s="3281"/>
      <c r="J2" s="3281"/>
      <c r="K2" s="3281"/>
      <c r="L2" s="3281"/>
      <c r="M2" s="1164"/>
      <c r="N2" s="1498"/>
      <c r="O2" s="1498"/>
      <c r="P2" s="1498"/>
      <c r="Q2" s="1498"/>
      <c r="R2" s="1498"/>
      <c r="S2" s="1498"/>
      <c r="T2" s="1498"/>
      <c r="U2" s="1498"/>
      <c r="V2" s="1498"/>
      <c r="W2" s="1498"/>
      <c r="X2" s="1498"/>
      <c r="Y2" s="1498"/>
      <c r="Z2" s="1498"/>
      <c r="BG2" s="16" t="e">
        <f>IF(BH2="Q",F8,IF(BH2="TS",G8,H8))</f>
        <v>#N/A</v>
      </c>
      <c r="BH2" s="618" t="e">
        <f>VLOOKUP($D8,$BG$3:$BH$28,2,FALSE)</f>
        <v>#N/A</v>
      </c>
      <c r="BI2" s="624" t="e">
        <f>VLOOKUP($D8,$BG$3:$BK$28,3,FALSE)</f>
        <v>#N/A</v>
      </c>
      <c r="BJ2" s="624" t="e">
        <f>VLOOKUP($D8,$BG$3:$BK$28,4,FALSE)</f>
        <v>#N/A</v>
      </c>
      <c r="BK2" s="624" t="e">
        <f>VLOOKUP($D8,$BG$3:$BK$28,5,FALSE)</f>
        <v>#N/A</v>
      </c>
    </row>
    <row r="3" spans="1:63" ht="18" x14ac:dyDescent="0.2">
      <c r="A3" s="1164"/>
      <c r="B3" s="3267" t="s">
        <v>2022</v>
      </c>
      <c r="C3" s="3267"/>
      <c r="D3" s="3267"/>
      <c r="E3" s="3267"/>
      <c r="F3" s="3267"/>
      <c r="G3" s="3267"/>
      <c r="H3" s="3267"/>
      <c r="I3" s="3267"/>
      <c r="J3" s="3267"/>
      <c r="K3" s="3267"/>
      <c r="L3" s="1164"/>
      <c r="M3" s="1164"/>
      <c r="N3" s="1498"/>
      <c r="O3" s="1498"/>
      <c r="P3" s="1498"/>
      <c r="Q3" s="1498"/>
      <c r="R3" s="1498"/>
      <c r="S3" s="1498"/>
      <c r="T3" s="1498"/>
      <c r="U3" s="1498"/>
      <c r="V3" s="1498"/>
      <c r="W3" s="1498"/>
      <c r="X3" s="1498"/>
      <c r="Y3" s="1498"/>
      <c r="Z3" s="1498"/>
      <c r="BG3" s="1105" t="str">
        <f>IF(ISBLANK(Paramètres!$AQ7),"",Paramètres!AQ7)</f>
        <v>Blé tendre</v>
      </c>
      <c r="BH3" s="1105" t="str">
        <f>IF(ISBLANK(Paramètres!$AQ7),"",Paramètres!AR7)</f>
        <v>Q</v>
      </c>
      <c r="BI3" s="1109">
        <f>IF(ISBLANK(Paramètres!$AQ7),"",Paramètres!AS7)</f>
        <v>3</v>
      </c>
      <c r="BJ3" s="1109">
        <f>IF(ISBLANK(Paramètres!$AQ7),"",Paramètres!AT7)</f>
        <v>0.9</v>
      </c>
      <c r="BK3" s="1109">
        <f>IF(ISBLANK(Paramètres!$AQ7),"",Paramètres!AU7)</f>
        <v>1.3</v>
      </c>
    </row>
    <row r="4" spans="1:63" ht="13.5" thickBot="1" x14ac:dyDescent="0.25">
      <c r="A4" s="1164"/>
      <c r="B4" s="1164"/>
      <c r="C4" s="1164"/>
      <c r="D4" s="1164"/>
      <c r="E4" s="1164"/>
      <c r="F4" s="1164"/>
      <c r="G4" s="1164"/>
      <c r="H4" s="1164"/>
      <c r="I4" s="1164"/>
      <c r="J4" s="1164"/>
      <c r="K4" s="1164"/>
      <c r="L4" s="1164"/>
      <c r="M4" s="1164"/>
      <c r="N4" s="1498"/>
      <c r="O4" s="1498"/>
      <c r="P4" s="1498"/>
      <c r="Q4" s="1498"/>
      <c r="R4" s="1498"/>
      <c r="S4" s="1498"/>
      <c r="T4" s="1498"/>
      <c r="U4" s="1498"/>
      <c r="V4" s="1498"/>
      <c r="W4" s="1498"/>
      <c r="X4" s="1498"/>
      <c r="Y4" s="1498"/>
      <c r="Z4" s="1498"/>
      <c r="BG4" s="1105" t="str">
        <f>IF(ISBLANK(Paramètres!$AQ8),"",Paramètres!AQ8)</f>
        <v>Blé améliorant et blé dur</v>
      </c>
      <c r="BH4" s="1105" t="str">
        <f>IF(ISBLANK(Paramètres!$AQ8),"",Paramètres!AR8)</f>
        <v>Q</v>
      </c>
      <c r="BI4" s="1109">
        <f>IF(ISBLANK(Paramètres!$AQ8),"",Paramètres!AS8)</f>
        <v>3.8</v>
      </c>
      <c r="BJ4" s="1109">
        <f>IF(ISBLANK(Paramètres!$AQ8),"",Paramètres!AT8)</f>
        <v>0.7</v>
      </c>
      <c r="BK4" s="1109">
        <f>IF(ISBLANK(Paramètres!$AQ8),"",Paramètres!AU8)</f>
        <v>1.4</v>
      </c>
    </row>
    <row r="5" spans="1:63" ht="13.5" thickTop="1" x14ac:dyDescent="0.2">
      <c r="A5" s="1164"/>
      <c r="B5" s="3231" t="s">
        <v>690</v>
      </c>
      <c r="C5" s="3232"/>
      <c r="D5" s="3232"/>
      <c r="E5" s="695"/>
      <c r="F5" s="3282" t="s">
        <v>691</v>
      </c>
      <c r="G5" s="3282"/>
      <c r="H5" s="3282"/>
      <c r="I5" s="696"/>
      <c r="J5" s="1186"/>
      <c r="K5" s="1186"/>
      <c r="L5" s="1193"/>
      <c r="M5" s="1164"/>
      <c r="N5" s="1498"/>
      <c r="O5" s="1498"/>
      <c r="P5" s="1498"/>
      <c r="Q5" s="1498"/>
      <c r="R5" s="1498"/>
      <c r="S5" s="1498"/>
      <c r="T5" s="1498"/>
      <c r="U5" s="1498"/>
      <c r="V5" s="1498"/>
      <c r="W5" s="1498"/>
      <c r="X5" s="1498"/>
      <c r="Y5" s="1498"/>
      <c r="Z5" s="1498"/>
      <c r="BG5" s="1105" t="str">
        <f>IF(ISBLANK(Paramètres!$AQ9),"",Paramètres!AQ9)</f>
        <v>Triticale</v>
      </c>
      <c r="BH5" s="1105" t="str">
        <f>IF(ISBLANK(Paramètres!$AQ9),"",Paramètres!AR9)</f>
        <v>Q</v>
      </c>
      <c r="BI5" s="1109">
        <f>IF(ISBLANK(Paramètres!$AQ9),"",Paramètres!AS9)</f>
        <v>2.6</v>
      </c>
      <c r="BJ5" s="1109">
        <f>IF(ISBLANK(Paramètres!$AQ9),"",Paramètres!AT9)</f>
        <v>0.85</v>
      </c>
      <c r="BK5" s="1109">
        <f>IF(ISBLANK(Paramètres!$AQ9),"",Paramètres!AU9)</f>
        <v>1.3</v>
      </c>
    </row>
    <row r="6" spans="1:63" x14ac:dyDescent="0.2">
      <c r="A6" s="1164"/>
      <c r="B6" s="1181"/>
      <c r="C6" s="1182"/>
      <c r="D6" s="1183"/>
      <c r="E6" s="614"/>
      <c r="F6" s="626" t="s">
        <v>705</v>
      </c>
      <c r="G6" s="626" t="s">
        <v>707</v>
      </c>
      <c r="H6" s="626" t="s">
        <v>707</v>
      </c>
      <c r="I6" s="625"/>
      <c r="J6" s="622"/>
      <c r="K6" s="622"/>
      <c r="L6" s="1178"/>
      <c r="M6" s="1164"/>
      <c r="N6" s="1498"/>
      <c r="O6" s="1498"/>
      <c r="P6" s="1498"/>
      <c r="Q6" s="1498"/>
      <c r="R6" s="1498"/>
      <c r="S6" s="1498"/>
      <c r="T6" s="1498"/>
      <c r="U6" s="1498"/>
      <c r="V6" s="1498"/>
      <c r="W6" s="1498"/>
      <c r="X6" s="1498"/>
      <c r="Y6" s="1498"/>
      <c r="Z6" s="1498"/>
      <c r="BG6" s="1105" t="str">
        <f>IF(ISBLANK(Paramètres!$AQ10),"",Paramètres!AQ10)</f>
        <v>Orge, seigle, avoine</v>
      </c>
      <c r="BH6" s="1105" t="str">
        <f>IF(ISBLANK(Paramètres!$AQ10),"",Paramètres!AR10)</f>
        <v>Q</v>
      </c>
      <c r="BI6" s="1109">
        <f>IF(ISBLANK(Paramètres!$AQ10),"",Paramètres!AS10)</f>
        <v>2.2999999999999998</v>
      </c>
      <c r="BJ6" s="1109">
        <f>IF(ISBLANK(Paramètres!$AQ10),"",Paramètres!AT10)</f>
        <v>0.7</v>
      </c>
      <c r="BK6" s="1109">
        <f>IF(ISBLANK(Paramètres!$AQ10),"",Paramètres!AU10)</f>
        <v>1.35</v>
      </c>
    </row>
    <row r="7" spans="1:63" x14ac:dyDescent="0.2">
      <c r="A7" s="1164"/>
      <c r="B7" s="1184"/>
      <c r="C7" s="1185"/>
      <c r="D7" s="1170"/>
      <c r="E7" s="615"/>
      <c r="F7" s="615" t="s">
        <v>706</v>
      </c>
      <c r="G7" s="615" t="s">
        <v>709</v>
      </c>
      <c r="H7" s="615" t="s">
        <v>708</v>
      </c>
      <c r="I7" s="620"/>
      <c r="J7" s="1851" t="s">
        <v>625</v>
      </c>
      <c r="K7" s="1851" t="s">
        <v>187</v>
      </c>
      <c r="L7" s="1852" t="s">
        <v>665</v>
      </c>
      <c r="M7" s="1164"/>
      <c r="N7" s="1498"/>
      <c r="O7" s="1498"/>
      <c r="P7" s="1498"/>
      <c r="Q7" s="1498"/>
      <c r="R7" s="1498"/>
      <c r="S7" s="1498"/>
      <c r="T7" s="1498"/>
      <c r="U7" s="1498"/>
      <c r="V7" s="1498"/>
      <c r="W7" s="1498"/>
      <c r="X7" s="1498"/>
      <c r="Y7" s="1498"/>
      <c r="Z7" s="1498"/>
      <c r="BG7" s="1105" t="str">
        <f>IF(ISBLANK(Paramètres!$AQ11),"",Paramètres!AQ11)</f>
        <v>Maïs grain</v>
      </c>
      <c r="BH7" s="1105" t="str">
        <f>IF(ISBLANK(Paramètres!$AQ11),"",Paramètres!AR11)</f>
        <v>Q</v>
      </c>
      <c r="BI7" s="1109">
        <f>IF(ISBLANK(Paramètres!$AQ11),"",Paramètres!AS11)</f>
        <v>2.4</v>
      </c>
      <c r="BJ7" s="1109">
        <f>IF(ISBLANK(Paramètres!$AQ11),"",Paramètres!AT11)</f>
        <v>1.2</v>
      </c>
      <c r="BK7" s="1109">
        <f>IF(ISBLANK(Paramètres!$AQ11),"",Paramètres!AU11)</f>
        <v>2.2999999999999998</v>
      </c>
    </row>
    <row r="8" spans="1:63" x14ac:dyDescent="0.2">
      <c r="A8" s="1164"/>
      <c r="B8" s="705" t="s">
        <v>826</v>
      </c>
      <c r="C8" s="614"/>
      <c r="D8" s="617"/>
      <c r="E8" s="11"/>
      <c r="F8" s="1161"/>
      <c r="G8" s="1161"/>
      <c r="H8" s="1161"/>
      <c r="I8" s="10"/>
      <c r="J8" s="1853" t="e">
        <f>$BG2*BI2</f>
        <v>#N/A</v>
      </c>
      <c r="K8" s="1854" t="e">
        <f>$BG2*BJ2</f>
        <v>#N/A</v>
      </c>
      <c r="L8" s="1855" t="e">
        <f>$BG2*BK2</f>
        <v>#N/A</v>
      </c>
      <c r="M8" s="1164"/>
      <c r="N8" s="1498"/>
      <c r="O8" s="1498"/>
      <c r="P8" s="1498"/>
      <c r="Q8" s="1498"/>
      <c r="R8" s="1498"/>
      <c r="S8" s="1498"/>
      <c r="T8" s="1498"/>
      <c r="U8" s="1498"/>
      <c r="V8" s="1498"/>
      <c r="W8" s="1498"/>
      <c r="X8" s="1498"/>
      <c r="Y8" s="1498"/>
      <c r="Z8" s="1498"/>
      <c r="BG8" s="1105" t="str">
        <f>IF(ISBLANK(Paramètres!$AQ12),"",Paramètres!AQ12)</f>
        <v>Maïs ensilage</v>
      </c>
      <c r="BH8" s="1105" t="str">
        <f>IF(ISBLANK(Paramètres!$AQ12),"",Paramètres!AR12)</f>
        <v>TS</v>
      </c>
      <c r="BI8" s="1109">
        <f>IF(ISBLANK(Paramètres!$AQ12),"",Paramètres!AS12)</f>
        <v>13</v>
      </c>
      <c r="BJ8" s="1109">
        <f>IF(ISBLANK(Paramètres!$AQ12),"",Paramètres!AT12)</f>
        <v>4.2</v>
      </c>
      <c r="BK8" s="1109">
        <f>IF(ISBLANK(Paramètres!$AQ12),"",Paramètres!AU12)</f>
        <v>12</v>
      </c>
    </row>
    <row r="9" spans="1:63" ht="5.0999999999999996" customHeight="1" thickBot="1" x14ac:dyDescent="0.25">
      <c r="A9" s="1164"/>
      <c r="B9" s="704"/>
      <c r="C9" s="697"/>
      <c r="D9" s="697"/>
      <c r="E9" s="689"/>
      <c r="F9" s="689"/>
      <c r="G9" s="689"/>
      <c r="H9" s="690"/>
      <c r="I9" s="690"/>
      <c r="J9" s="1174"/>
      <c r="K9" s="1174"/>
      <c r="L9" s="1180"/>
      <c r="M9" s="1164"/>
      <c r="N9" s="1498"/>
      <c r="O9" s="1498"/>
      <c r="P9" s="1498"/>
      <c r="Q9" s="1498"/>
      <c r="R9" s="1498"/>
      <c r="S9" s="1498"/>
      <c r="T9" s="1498"/>
      <c r="U9" s="1498"/>
      <c r="V9" s="1498"/>
      <c r="W9" s="1498"/>
      <c r="X9" s="1498"/>
      <c r="Y9" s="1498"/>
      <c r="Z9" s="1498"/>
      <c r="BG9" s="1105" t="str">
        <f>IF(ISBLANK(Paramètres!$AQ13),"",Paramètres!AQ13)</f>
        <v>Colza</v>
      </c>
      <c r="BH9" s="1105" t="str">
        <f>IF(ISBLANK(Paramètres!$AQ13),"",Paramètres!AR13)</f>
        <v>Q</v>
      </c>
      <c r="BI9" s="1109">
        <f>IF(ISBLANK(Paramètres!$AQ13),"",Paramètres!AS13)</f>
        <v>6.5</v>
      </c>
      <c r="BJ9" s="1109">
        <f>IF(ISBLANK(Paramètres!$AQ13),"",Paramètres!AT13)</f>
        <v>2.2999999999999998</v>
      </c>
      <c r="BK9" s="1109">
        <f>IF(ISBLANK(Paramètres!$AQ13),"",Paramètres!AU13)</f>
        <v>3.5</v>
      </c>
    </row>
    <row r="10" spans="1:63" ht="12.75" customHeight="1" thickTop="1" thickBot="1" x14ac:dyDescent="0.25">
      <c r="A10" s="1164"/>
      <c r="B10" s="1167"/>
      <c r="C10" s="1167"/>
      <c r="D10" s="622"/>
      <c r="E10" s="1164"/>
      <c r="F10" s="1164"/>
      <c r="G10" s="1164"/>
      <c r="H10" s="1164"/>
      <c r="I10" s="1164"/>
      <c r="J10" s="1189"/>
      <c r="K10" s="1189"/>
      <c r="L10" s="1189"/>
      <c r="M10" s="1164"/>
      <c r="N10" s="1498"/>
      <c r="O10" s="1498"/>
      <c r="P10" s="1498"/>
      <c r="Q10" s="1498"/>
      <c r="R10" s="1498"/>
      <c r="S10" s="1498"/>
      <c r="T10" s="1498"/>
      <c r="U10" s="1498"/>
      <c r="V10" s="1498"/>
      <c r="W10" s="1498"/>
      <c r="X10" s="1498"/>
      <c r="Y10" s="1498"/>
      <c r="Z10" s="1498"/>
      <c r="BG10" s="1105" t="str">
        <f>IF(ISBLANK(Paramètres!$AQ14),"",Paramètres!AQ14)</f>
        <v>Tournesol</v>
      </c>
      <c r="BH10" s="1105" t="str">
        <f>IF(ISBLANK(Paramètres!$AQ14),"",Paramètres!AR14)</f>
        <v>Q</v>
      </c>
      <c r="BI10" s="1109">
        <f>IF(ISBLANK(Paramètres!$AQ14),"",Paramètres!AS14)</f>
        <v>4.5</v>
      </c>
      <c r="BJ10" s="1109">
        <f>IF(ISBLANK(Paramètres!$AQ14),"",Paramètres!AT14)</f>
        <v>1.5</v>
      </c>
      <c r="BK10" s="1109">
        <f>IF(ISBLANK(Paramètres!$AQ14),"",Paramètres!AU14)</f>
        <v>2</v>
      </c>
    </row>
    <row r="11" spans="1:63" ht="13.5" thickTop="1" x14ac:dyDescent="0.2">
      <c r="A11" s="1164"/>
      <c r="B11" s="1347" t="s">
        <v>994</v>
      </c>
      <c r="C11" s="1348"/>
      <c r="D11" s="1348"/>
      <c r="E11" s="1186"/>
      <c r="F11" s="1186"/>
      <c r="G11" s="1186"/>
      <c r="H11" s="1186"/>
      <c r="I11" s="1186"/>
      <c r="J11" s="1187"/>
      <c r="K11" s="1187"/>
      <c r="L11" s="1188"/>
      <c r="M11" s="1164"/>
      <c r="N11" s="1498"/>
      <c r="O11" s="1498"/>
      <c r="P11" s="1498"/>
      <c r="Q11" s="1498"/>
      <c r="R11" s="1498"/>
      <c r="S11" s="1498"/>
      <c r="T11" s="1498"/>
      <c r="U11" s="1498"/>
      <c r="V11" s="1498"/>
      <c r="W11" s="1498"/>
      <c r="X11" s="1498"/>
      <c r="Y11" s="1498"/>
      <c r="Z11" s="1498"/>
      <c r="AA11" s="1808" t="s">
        <v>1012</v>
      </c>
      <c r="BG11" s="1105" t="str">
        <f>IF(ISBLANK(Paramètres!$AQ15),"",Paramètres!AQ15)</f>
        <v>Sorgho grain et ensilage</v>
      </c>
      <c r="BH11" s="1105" t="str">
        <f>IF(ISBLANK(Paramètres!$AQ15),"",Paramètres!AR15)</f>
        <v>Q</v>
      </c>
      <c r="BI11" s="1109">
        <f>IF(ISBLANK(Paramètres!$AQ15),"",Paramètres!AS15)</f>
        <v>1.6</v>
      </c>
      <c r="BJ11" s="1109">
        <f>IF(ISBLANK(Paramètres!$AQ15),"",Paramètres!AT15)</f>
        <v>1</v>
      </c>
      <c r="BK11" s="1109">
        <f>IF(ISBLANK(Paramètres!$AQ15),"",Paramètres!AU15)</f>
        <v>2.5</v>
      </c>
    </row>
    <row r="12" spans="1:63" x14ac:dyDescent="0.2">
      <c r="A12" s="1164"/>
      <c r="B12" s="3214" t="s">
        <v>710</v>
      </c>
      <c r="C12" s="3215"/>
      <c r="D12" s="3215"/>
      <c r="E12" s="622"/>
      <c r="F12" s="622"/>
      <c r="G12" s="622"/>
      <c r="H12" s="622"/>
      <c r="I12" s="622"/>
      <c r="J12" s="2148" t="str">
        <f>IF(AND(NOT(ISBLANK(Cu_Analy)),ISBLANK(Cu_Metho)),"Il faut obligatoirement entrer la méthode d'analyse du P2O5, même si on utilise les références du réseau local",".")</f>
        <v>.</v>
      </c>
      <c r="K12" s="1189"/>
      <c r="L12" s="1190"/>
      <c r="M12" s="1164"/>
      <c r="N12" s="1498"/>
      <c r="O12" s="1498"/>
      <c r="P12" s="1498"/>
      <c r="Q12" s="1498"/>
      <c r="R12" s="1498"/>
      <c r="S12" s="1498"/>
      <c r="T12" s="1498"/>
      <c r="U12" s="1498"/>
      <c r="V12" s="1498"/>
      <c r="W12" s="1498"/>
      <c r="X12" s="1498"/>
      <c r="Y12" s="1498"/>
      <c r="Z12" s="1498"/>
      <c r="AA12" s="1808" t="s">
        <v>1013</v>
      </c>
      <c r="BG12" s="1105" t="str">
        <f>IF(ISBLANK(Paramètres!$AQ16),"",Paramètres!AQ16)</f>
        <v>Soja</v>
      </c>
      <c r="BH12" s="1105" t="str">
        <f>IF(ISBLANK(Paramètres!$AQ16),"",Paramètres!AR16)</f>
        <v>Q</v>
      </c>
      <c r="BI12" s="1109">
        <f>IF(ISBLANK(Paramètres!$AQ16),"",Paramètres!AS16)</f>
        <v>0</v>
      </c>
      <c r="BJ12" s="1109">
        <f>IF(ISBLANK(Paramètres!$AQ16),"",Paramètres!AT16)</f>
        <v>1.25</v>
      </c>
      <c r="BK12" s="1109">
        <f>IF(ISBLANK(Paramètres!$AQ16),"",Paramètres!AU16)</f>
        <v>2</v>
      </c>
    </row>
    <row r="13" spans="1:63" ht="5.0999999999999996" customHeight="1" x14ac:dyDescent="0.2">
      <c r="A13" s="1164"/>
      <c r="B13" s="694"/>
      <c r="C13" s="622"/>
      <c r="D13" s="622"/>
      <c r="E13" s="622"/>
      <c r="F13" s="622"/>
      <c r="G13" s="622"/>
      <c r="H13" s="622"/>
      <c r="I13" s="622"/>
      <c r="J13" s="1189"/>
      <c r="K13" s="1189"/>
      <c r="L13" s="1190"/>
      <c r="M13" s="1164"/>
      <c r="N13" s="1498"/>
      <c r="O13" s="1498"/>
      <c r="P13" s="1498"/>
      <c r="Q13" s="1498"/>
      <c r="R13" s="1498"/>
      <c r="S13" s="1498"/>
      <c r="T13" s="1498"/>
      <c r="U13" s="1498"/>
      <c r="V13" s="1498"/>
      <c r="W13" s="1498"/>
      <c r="X13" s="1498"/>
      <c r="Y13" s="1498"/>
      <c r="Z13" s="1498"/>
      <c r="BG13" s="1105" t="str">
        <f>IF(ISBLANK(Paramètres!$AQ17),"",Paramètres!AQ17)</f>
        <v>Lupin</v>
      </c>
      <c r="BH13" s="1105" t="str">
        <f>IF(ISBLANK(Paramètres!$AQ17),"",Paramètres!AR17)</f>
        <v>Q</v>
      </c>
      <c r="BI13" s="1109">
        <f>IF(ISBLANK(Paramètres!$AQ17),"",Paramètres!AS17)</f>
        <v>0</v>
      </c>
      <c r="BJ13" s="1109">
        <f>IF(ISBLANK(Paramètres!$AQ17),"",Paramètres!AT17)</f>
        <v>0.9</v>
      </c>
      <c r="BK13" s="1109">
        <f>IF(ISBLANK(Paramètres!$AQ17),"",Paramètres!AU17)</f>
        <v>1.5</v>
      </c>
    </row>
    <row r="14" spans="1:63" x14ac:dyDescent="0.2">
      <c r="A14" s="1164"/>
      <c r="B14" s="698"/>
      <c r="C14" s="628"/>
      <c r="D14" s="629"/>
      <c r="E14" s="699" t="s">
        <v>721</v>
      </c>
      <c r="F14" s="617"/>
      <c r="G14" s="622"/>
      <c r="H14" s="629"/>
      <c r="I14" s="629" t="s">
        <v>1011</v>
      </c>
      <c r="J14" s="617"/>
      <c r="K14" s="1189"/>
      <c r="L14" s="1190"/>
      <c r="M14" s="1164"/>
      <c r="N14" s="1498"/>
      <c r="O14" s="1498"/>
      <c r="P14" s="1498"/>
      <c r="Q14" s="1498"/>
      <c r="R14" s="1498"/>
      <c r="S14" s="1498"/>
      <c r="T14" s="1498"/>
      <c r="U14" s="1498"/>
      <c r="V14" s="1498"/>
      <c r="W14" s="1498"/>
      <c r="X14" s="1498"/>
      <c r="Y14" s="1498"/>
      <c r="Z14" s="1498"/>
      <c r="AA14" s="1337" t="s">
        <v>711</v>
      </c>
      <c r="AB14" s="1337" t="s">
        <v>735</v>
      </c>
      <c r="AC14" s="1337" t="s">
        <v>736</v>
      </c>
      <c r="BG14" s="1105" t="str">
        <f>IF(ISBLANK(Paramètres!$AQ18),"",Paramètres!AQ18)</f>
        <v>Pois, féverole, haricot</v>
      </c>
      <c r="BH14" s="1105" t="str">
        <f>IF(ISBLANK(Paramètres!$AQ18),"",Paramètres!AR18)</f>
        <v>Q</v>
      </c>
      <c r="BI14" s="1109">
        <f>IF(ISBLANK(Paramètres!$AQ18),"",Paramètres!AS18)</f>
        <v>0</v>
      </c>
      <c r="BJ14" s="1109">
        <f>IF(ISBLANK(Paramètres!$AQ18),"",Paramètres!AT18)</f>
        <v>1.3</v>
      </c>
      <c r="BK14" s="1109">
        <f>IF(ISBLANK(Paramètres!$AQ18),"",Paramètres!AU18)</f>
        <v>3.5</v>
      </c>
    </row>
    <row r="15" spans="1:63" x14ac:dyDescent="0.2">
      <c r="A15" s="1164"/>
      <c r="B15" s="694"/>
      <c r="C15" s="622"/>
      <c r="D15" s="622"/>
      <c r="E15" s="622"/>
      <c r="F15" s="700" t="s">
        <v>625</v>
      </c>
      <c r="G15" s="700" t="s">
        <v>187</v>
      </c>
      <c r="H15" s="700" t="s">
        <v>665</v>
      </c>
      <c r="I15" s="622"/>
      <c r="J15" s="1872" t="s">
        <v>625</v>
      </c>
      <c r="K15" s="1881"/>
      <c r="L15" s="1880"/>
      <c r="M15" s="1164"/>
      <c r="N15" s="1498"/>
      <c r="O15" s="1498"/>
      <c r="P15" s="1498"/>
      <c r="Q15" s="1498"/>
      <c r="R15" s="1498"/>
      <c r="S15" s="1498"/>
      <c r="T15" s="1498"/>
      <c r="U15" s="1498"/>
      <c r="V15" s="1498"/>
      <c r="W15" s="1498"/>
      <c r="X15" s="1498"/>
      <c r="Y15" s="1498"/>
      <c r="Z15" s="1498"/>
      <c r="AA15" s="1337" t="s">
        <v>712</v>
      </c>
      <c r="AB15" s="1337" t="s">
        <v>738</v>
      </c>
      <c r="AC15" s="1337" t="s">
        <v>737</v>
      </c>
      <c r="BG15" s="1105" t="str">
        <f>IF(ISBLANK(Paramètres!$AQ19),"",Paramètres!AQ19)</f>
        <v>Luzerne</v>
      </c>
      <c r="BH15" s="1105" t="str">
        <f>IF(ISBLANK(Paramètres!$AQ19),"",Paramètres!AR19)</f>
        <v>TS</v>
      </c>
      <c r="BI15" s="1109">
        <f>IF(ISBLANK(Paramètres!$AQ19),"",Paramètres!AS19)</f>
        <v>0</v>
      </c>
      <c r="BJ15" s="1109">
        <f>IF(ISBLANK(Paramètres!$AQ19),"",Paramètres!AT19)</f>
        <v>7</v>
      </c>
      <c r="BK15" s="1109">
        <f>IF(ISBLANK(Paramètres!$AQ19),"",Paramètres!AU19)</f>
        <v>32</v>
      </c>
    </row>
    <row r="16" spans="1:63" x14ac:dyDescent="0.2">
      <c r="A16" s="1164"/>
      <c r="B16" s="694"/>
      <c r="C16" s="622"/>
      <c r="D16" s="622"/>
      <c r="E16" s="699" t="str">
        <f>IF(F14="OUI",AB14,IF(F14="NON",AB15,""))</f>
        <v/>
      </c>
      <c r="F16" s="693" t="s">
        <v>739</v>
      </c>
      <c r="G16" s="1616" t="s">
        <v>1319</v>
      </c>
      <c r="H16" s="1616" t="s">
        <v>1319</v>
      </c>
      <c r="I16" s="622"/>
      <c r="J16" s="1463" t="s">
        <v>739</v>
      </c>
      <c r="K16" s="1881"/>
      <c r="L16" s="1880"/>
      <c r="M16" s="1164"/>
      <c r="N16" s="1498"/>
      <c r="O16" s="1498"/>
      <c r="P16" s="1498"/>
      <c r="Q16" s="1498"/>
      <c r="R16" s="1498"/>
      <c r="S16" s="1498"/>
      <c r="T16" s="1498"/>
      <c r="U16" s="1498"/>
      <c r="V16" s="1498"/>
      <c r="W16" s="1498"/>
      <c r="X16" s="1498"/>
      <c r="Y16" s="1498"/>
      <c r="Z16" s="1498"/>
      <c r="BG16" s="1105" t="str">
        <f>IF(ISBLANK(Paramètres!$AQ20),"",Paramètres!AQ20)</f>
        <v>Trèfle violet</v>
      </c>
      <c r="BH16" s="1105" t="str">
        <f>IF(ISBLANK(Paramètres!$AQ20),"",Paramètres!AR20)</f>
        <v>TS</v>
      </c>
      <c r="BI16" s="1109">
        <f>IF(ISBLANK(Paramètres!$AQ20),"",Paramètres!AS20)</f>
        <v>0</v>
      </c>
      <c r="BJ16" s="1109">
        <f>IF(ISBLANK(Paramètres!$AQ20),"",Paramètres!AT20)</f>
        <v>6.5</v>
      </c>
      <c r="BK16" s="1109">
        <f>IF(ISBLANK(Paramètres!$AQ20),"",Paramètres!AU20)</f>
        <v>30</v>
      </c>
    </row>
    <row r="17" spans="1:77" x14ac:dyDescent="0.2">
      <c r="A17" s="1164"/>
      <c r="B17" s="694"/>
      <c r="C17" s="622"/>
      <c r="D17" s="622"/>
      <c r="E17" s="699" t="str">
        <f>IF(F14="OUI",AC14,IF(F14="NON",AC15,""))</f>
        <v/>
      </c>
      <c r="F17" s="617"/>
      <c r="G17" s="617"/>
      <c r="H17" s="617"/>
      <c r="I17" s="622"/>
      <c r="J17" s="1856">
        <f>Cu_N</f>
        <v>0</v>
      </c>
      <c r="K17" s="1881"/>
      <c r="L17" s="1880"/>
      <c r="M17" s="1164"/>
      <c r="N17" s="1498"/>
      <c r="O17" s="1498"/>
      <c r="P17" s="1498"/>
      <c r="Q17" s="1498"/>
      <c r="R17" s="1498"/>
      <c r="S17" s="1498"/>
      <c r="T17" s="1498"/>
      <c r="U17" s="1498"/>
      <c r="V17" s="1498"/>
      <c r="W17" s="1498"/>
      <c r="X17" s="1498"/>
      <c r="Y17" s="1498"/>
      <c r="Z17" s="1498"/>
      <c r="BG17" s="1105" t="str">
        <f>IF(ISBLANK(Paramètres!$AQ21),"",Paramètres!AQ21)</f>
        <v>Betteraves sucrières</v>
      </c>
      <c r="BH17" s="1105" t="str">
        <f>IF(ISBLANK(Paramètres!$AQ21),"",Paramètres!AR21)</f>
        <v>TF</v>
      </c>
      <c r="BI17" s="1109">
        <f>IF(ISBLANK(Paramètres!$AQ21),"",Paramètres!AS21)</f>
        <v>3.2</v>
      </c>
      <c r="BJ17" s="1109">
        <f>IF(ISBLANK(Paramètres!$AQ21),"",Paramètres!AT21)</f>
        <v>1</v>
      </c>
      <c r="BK17" s="1109">
        <f>IF(ISBLANK(Paramètres!$AQ21),"",Paramètres!AU21)</f>
        <v>3.5</v>
      </c>
    </row>
    <row r="18" spans="1:77" ht="5.0999999999999996" customHeight="1" x14ac:dyDescent="0.2">
      <c r="A18" s="1164"/>
      <c r="B18" s="694"/>
      <c r="C18" s="622"/>
      <c r="D18" s="622"/>
      <c r="E18" s="622"/>
      <c r="F18" s="622"/>
      <c r="G18" s="622"/>
      <c r="H18" s="622"/>
      <c r="I18" s="622"/>
      <c r="J18" s="1463"/>
      <c r="K18" s="1881"/>
      <c r="L18" s="1880"/>
      <c r="M18" s="1164"/>
      <c r="N18" s="1498"/>
      <c r="O18" s="1498"/>
      <c r="P18" s="1498"/>
      <c r="Q18" s="1498"/>
      <c r="R18" s="1498"/>
      <c r="S18" s="1498"/>
      <c r="T18" s="1498"/>
      <c r="U18" s="1498"/>
      <c r="V18" s="1498"/>
      <c r="W18" s="1498"/>
      <c r="X18" s="1498"/>
      <c r="Y18" s="1498"/>
      <c r="Z18" s="1498"/>
      <c r="BG18" s="1105" t="str">
        <f>IF(ISBLANK(Paramètres!$AQ22),"",Paramètres!AQ22)</f>
        <v>Betteraves fourragères</v>
      </c>
      <c r="BH18" s="1105" t="str">
        <f>IF(ISBLANK(Paramètres!$AQ22),"",Paramètres!AR22)</f>
        <v>TF</v>
      </c>
      <c r="BI18" s="1109">
        <f>IF(ISBLANK(Paramètres!$AQ22),"",Paramètres!AS22)</f>
        <v>3</v>
      </c>
      <c r="BJ18" s="1109">
        <f>IF(ISBLANK(Paramètres!$AQ22),"",Paramètres!AT22)</f>
        <v>0.9</v>
      </c>
      <c r="BK18" s="1109">
        <f>IF(ISBLANK(Paramètres!$AQ22),"",Paramètres!AU22)</f>
        <v>1.9</v>
      </c>
    </row>
    <row r="19" spans="1:77" x14ac:dyDescent="0.2">
      <c r="A19" s="1164"/>
      <c r="B19" s="3214" t="s">
        <v>740</v>
      </c>
      <c r="C19" s="3215"/>
      <c r="D19" s="3215"/>
      <c r="E19" s="3215"/>
      <c r="F19" s="3215"/>
      <c r="G19" s="3215"/>
      <c r="H19" s="622"/>
      <c r="I19" s="622"/>
      <c r="J19" s="1463"/>
      <c r="K19" s="1881"/>
      <c r="L19" s="1880"/>
      <c r="M19" s="1164"/>
      <c r="N19" s="1498"/>
      <c r="O19" s="1498"/>
      <c r="P19" s="1498"/>
      <c r="Q19" s="1498"/>
      <c r="R19" s="1498"/>
      <c r="S19" s="1498"/>
      <c r="T19" s="1498"/>
      <c r="U19" s="1498"/>
      <c r="V19" s="1498"/>
      <c r="W19" s="1498"/>
      <c r="X19" s="1498"/>
      <c r="Y19" s="1498"/>
      <c r="Z19" s="1498"/>
      <c r="AM19" s="1821">
        <v>1</v>
      </c>
      <c r="AN19" s="1821">
        <v>2</v>
      </c>
      <c r="AO19" s="1821">
        <v>3</v>
      </c>
      <c r="AP19" s="1821">
        <v>4</v>
      </c>
      <c r="AQ19" s="1821">
        <v>5</v>
      </c>
      <c r="AR19" s="1821">
        <v>6</v>
      </c>
      <c r="AS19" s="1821">
        <v>7</v>
      </c>
      <c r="AT19" s="1821">
        <v>8</v>
      </c>
      <c r="AU19" s="1821">
        <v>9</v>
      </c>
      <c r="AV19" s="1821">
        <v>10</v>
      </c>
      <c r="AW19" s="1821">
        <v>11</v>
      </c>
      <c r="AX19" s="1821">
        <v>12</v>
      </c>
      <c r="AY19" s="1821">
        <v>13</v>
      </c>
      <c r="AZ19" s="1821">
        <v>14</v>
      </c>
      <c r="BA19" s="1821">
        <v>15</v>
      </c>
      <c r="BB19" s="1821">
        <v>16</v>
      </c>
      <c r="BC19" s="1821">
        <v>17</v>
      </c>
      <c r="BD19" s="1821">
        <v>18</v>
      </c>
      <c r="BG19" s="1105" t="str">
        <f>IF(ISBLANK(Paramètres!$AQ23),"",Paramètres!AQ23)</f>
        <v>Crucifères fourragères</v>
      </c>
      <c r="BH19" s="1105" t="str">
        <f>IF(ISBLANK(Paramètres!$AQ23),"",Paramètres!AR23)</f>
        <v>TS</v>
      </c>
      <c r="BI19" s="1109">
        <f>IF(ISBLANK(Paramètres!$AQ23),"",Paramètres!AS23)</f>
        <v>28</v>
      </c>
      <c r="BJ19" s="1109">
        <f>IF(ISBLANK(Paramètres!$AQ23),"",Paramètres!AT23)</f>
        <v>9</v>
      </c>
      <c r="BK19" s="1109">
        <f>IF(ISBLANK(Paramètres!$AQ23),"",Paramètres!AU23)</f>
        <v>40</v>
      </c>
    </row>
    <row r="20" spans="1:77" ht="5.0999999999999996" customHeight="1" x14ac:dyDescent="0.2">
      <c r="A20" s="1164"/>
      <c r="B20" s="694"/>
      <c r="C20" s="622"/>
      <c r="D20" s="622"/>
      <c r="E20" s="622"/>
      <c r="F20" s="622"/>
      <c r="G20" s="622"/>
      <c r="H20" s="622"/>
      <c r="I20" s="622"/>
      <c r="J20" s="1463"/>
      <c r="K20" s="1463"/>
      <c r="L20" s="1875"/>
      <c r="M20" s="1164"/>
      <c r="N20" s="1498"/>
      <c r="O20" s="1498"/>
      <c r="P20" s="1498"/>
      <c r="Q20" s="1498"/>
      <c r="R20" s="1498"/>
      <c r="S20" s="1498"/>
      <c r="T20" s="1498"/>
      <c r="U20" s="1498"/>
      <c r="V20" s="1498"/>
      <c r="W20" s="1498"/>
      <c r="X20" s="1498"/>
      <c r="Y20" s="1498"/>
      <c r="Z20" s="1498"/>
      <c r="AD20" s="1337"/>
      <c r="AE20" s="1337"/>
      <c r="AF20" s="1337"/>
      <c r="AG20" s="1337"/>
      <c r="AH20" s="1337"/>
      <c r="AI20" s="1337"/>
      <c r="AJ20" s="1337"/>
      <c r="AK20" s="1337"/>
      <c r="AL20" s="17" t="e">
        <f>VLOOKUP(F21,AA21:AB23,2,FALSE)</f>
        <v>#N/A</v>
      </c>
      <c r="AM20" s="1821" t="s">
        <v>742</v>
      </c>
      <c r="AN20" s="1821" t="s">
        <v>742</v>
      </c>
      <c r="AO20" s="1821" t="s">
        <v>742</v>
      </c>
      <c r="AP20" s="1821" t="s">
        <v>742</v>
      </c>
      <c r="AQ20" s="1821" t="s">
        <v>742</v>
      </c>
      <c r="AR20" s="1821" t="s">
        <v>742</v>
      </c>
      <c r="AS20" s="1821" t="s">
        <v>743</v>
      </c>
      <c r="AT20" s="1821" t="s">
        <v>743</v>
      </c>
      <c r="AU20" s="1821" t="s">
        <v>743</v>
      </c>
      <c r="AV20" s="1821" t="s">
        <v>743</v>
      </c>
      <c r="AW20" s="1821" t="s">
        <v>743</v>
      </c>
      <c r="AX20" s="1821" t="s">
        <v>743</v>
      </c>
      <c r="AY20" s="1821" t="s">
        <v>744</v>
      </c>
      <c r="AZ20" s="1821" t="s">
        <v>744</v>
      </c>
      <c r="BA20" s="1821" t="s">
        <v>744</v>
      </c>
      <c r="BB20" s="1821" t="s">
        <v>744</v>
      </c>
      <c r="BC20" s="1821" t="s">
        <v>744</v>
      </c>
      <c r="BD20" s="1821" t="s">
        <v>744</v>
      </c>
      <c r="BG20" s="1105" t="str">
        <f>IF(ISBLANK(Paramètres!$AQ24),"",Paramètres!AQ24)</f>
        <v>Lin graine</v>
      </c>
      <c r="BH20" s="1105" t="str">
        <f>IF(ISBLANK(Paramètres!$AQ24),"",Paramètres!AR24)</f>
        <v>Q</v>
      </c>
      <c r="BI20" s="1109">
        <f>IF(ISBLANK(Paramètres!$AQ24),"",Paramètres!AS24)</f>
        <v>4.5</v>
      </c>
      <c r="BJ20" s="1109">
        <f>IF(ISBLANK(Paramètres!$AQ24),"",Paramètres!AT24)</f>
        <v>1.8</v>
      </c>
      <c r="BK20" s="1109">
        <f>IF(ISBLANK(Paramètres!$AQ24),"",Paramètres!AU24)</f>
        <v>1</v>
      </c>
    </row>
    <row r="21" spans="1:77" x14ac:dyDescent="0.2">
      <c r="A21" s="1164"/>
      <c r="B21" s="694"/>
      <c r="C21" s="622"/>
      <c r="D21" s="622" t="s">
        <v>770</v>
      </c>
      <c r="E21" s="622"/>
      <c r="F21" s="617"/>
      <c r="G21" s="622"/>
      <c r="H21" s="622"/>
      <c r="I21" s="622"/>
      <c r="J21" s="1463"/>
      <c r="K21" s="1463"/>
      <c r="L21" s="1875"/>
      <c r="M21" s="1164"/>
      <c r="N21" s="1498"/>
      <c r="O21" s="1498"/>
      <c r="P21" s="1498"/>
      <c r="Q21" s="1498"/>
      <c r="R21" s="1498"/>
      <c r="S21" s="1498"/>
      <c r="T21" s="1498"/>
      <c r="U21" s="1498"/>
      <c r="V21" s="1498"/>
      <c r="W21" s="1498"/>
      <c r="X21" s="1498"/>
      <c r="Y21" s="1498"/>
      <c r="Z21" s="1498"/>
      <c r="AA21" s="1813" t="s">
        <v>742</v>
      </c>
      <c r="AB21" s="1814">
        <v>1</v>
      </c>
      <c r="AC21" s="1811" t="str">
        <f>IF(F21=AA21,AD21,IF(F21=AA22,AF21,IF(F21=AA23,AH21,"")))</f>
        <v/>
      </c>
      <c r="AD21" s="1813" t="s">
        <v>745</v>
      </c>
      <c r="AE21" s="1809">
        <v>0</v>
      </c>
      <c r="AF21" s="1813" t="s">
        <v>747</v>
      </c>
      <c r="AG21" s="1809">
        <v>0</v>
      </c>
      <c r="AH21" s="1813" t="s">
        <v>749</v>
      </c>
      <c r="AI21" s="1814">
        <v>0</v>
      </c>
      <c r="AJ21" s="1813" t="s">
        <v>750</v>
      </c>
      <c r="AK21" s="1809">
        <v>0</v>
      </c>
      <c r="AL21" s="17" t="e">
        <f>IF(AL20=1,VLOOKUP(F23,AD21:AE22,2,FALSE),IF(AL20=7,VLOOKUP(F23,AF21:AG22,2,FALSE),IF(AL20=13,VLOOKUP(F23,AH21:AI22,2,FALSE),"")))</f>
        <v>#N/A</v>
      </c>
      <c r="AM21" s="1821" t="s">
        <v>745</v>
      </c>
      <c r="AN21" s="1821" t="s">
        <v>745</v>
      </c>
      <c r="AO21" s="1821" t="s">
        <v>745</v>
      </c>
      <c r="AP21" s="1821" t="s">
        <v>746</v>
      </c>
      <c r="AQ21" s="1821" t="s">
        <v>746</v>
      </c>
      <c r="AR21" s="1821" t="s">
        <v>746</v>
      </c>
      <c r="AS21" s="1821" t="s">
        <v>747</v>
      </c>
      <c r="AT21" s="1821" t="s">
        <v>747</v>
      </c>
      <c r="AU21" s="1821" t="s">
        <v>747</v>
      </c>
      <c r="AV21" s="1821" t="s">
        <v>748</v>
      </c>
      <c r="AW21" s="1821" t="s">
        <v>748</v>
      </c>
      <c r="AX21" s="1821" t="s">
        <v>748</v>
      </c>
      <c r="AY21" s="1821" t="s">
        <v>749</v>
      </c>
      <c r="AZ21" s="1821" t="s">
        <v>749</v>
      </c>
      <c r="BA21" s="1821" t="s">
        <v>749</v>
      </c>
      <c r="BB21" s="1786" t="s">
        <v>988</v>
      </c>
      <c r="BC21" s="1786" t="s">
        <v>988</v>
      </c>
      <c r="BD21" s="1786" t="s">
        <v>988</v>
      </c>
      <c r="BG21" s="1105" t="str">
        <f>IF(ISBLANK(Paramètres!$AQ25),"",Paramètres!AQ25)</f>
        <v>Lin fibre</v>
      </c>
      <c r="BH21" s="1105" t="str">
        <f>IF(ISBLANK(Paramètres!$AQ25),"",Paramètres!AR25)</f>
        <v>TS</v>
      </c>
      <c r="BI21" s="1109">
        <f>IF(ISBLANK(Paramètres!$AQ25),"",Paramètres!AS25)</f>
        <v>10</v>
      </c>
      <c r="BJ21" s="1109">
        <f>IF(ISBLANK(Paramètres!$AQ25),"",Paramètres!AT25)</f>
        <v>2</v>
      </c>
      <c r="BK21" s="1109">
        <f>IF(ISBLANK(Paramètres!$AQ25),"",Paramètres!AU25)</f>
        <v>7</v>
      </c>
    </row>
    <row r="22" spans="1:77" ht="5.0999999999999996" customHeight="1" x14ac:dyDescent="0.2">
      <c r="A22" s="1164"/>
      <c r="B22" s="694"/>
      <c r="C22" s="622"/>
      <c r="D22" s="622"/>
      <c r="E22" s="622"/>
      <c r="F22" s="622"/>
      <c r="G22" s="622"/>
      <c r="H22" s="622"/>
      <c r="I22" s="622"/>
      <c r="J22" s="1463"/>
      <c r="K22" s="1463"/>
      <c r="L22" s="1875"/>
      <c r="M22" s="1164"/>
      <c r="N22" s="1498"/>
      <c r="O22" s="1498"/>
      <c r="P22" s="1498"/>
      <c r="Q22" s="1498"/>
      <c r="R22" s="1498"/>
      <c r="S22" s="1498"/>
      <c r="T22" s="1498"/>
      <c r="U22" s="1498"/>
      <c r="V22" s="1498"/>
      <c r="W22" s="1498"/>
      <c r="X22" s="1498"/>
      <c r="Y22" s="1498"/>
      <c r="Z22" s="1498"/>
      <c r="AA22" s="1815" t="s">
        <v>743</v>
      </c>
      <c r="AB22" s="1816">
        <v>7</v>
      </c>
      <c r="AC22" s="1812" t="str">
        <f>IF(F21=AA21,AD22,IF(F21=AA22,AF22,IF(F21=AA23,AH22,"")))</f>
        <v/>
      </c>
      <c r="AD22" s="1817" t="s">
        <v>746</v>
      </c>
      <c r="AE22" s="1819">
        <v>3</v>
      </c>
      <c r="AF22" s="1817" t="s">
        <v>748</v>
      </c>
      <c r="AG22" s="1819">
        <v>3</v>
      </c>
      <c r="AH22" s="1820" t="s">
        <v>988</v>
      </c>
      <c r="AI22" s="1818">
        <v>3</v>
      </c>
      <c r="AJ22" s="1815" t="s">
        <v>751</v>
      </c>
      <c r="AK22" s="1810">
        <v>1</v>
      </c>
      <c r="AL22" s="17" t="e">
        <f>VLOOKUP(F25,AJ21:AK23,2,FALSE)</f>
        <v>#N/A</v>
      </c>
      <c r="AM22" s="1821" t="s">
        <v>750</v>
      </c>
      <c r="AN22" s="1821" t="s">
        <v>751</v>
      </c>
      <c r="AO22" s="1786" t="s">
        <v>774</v>
      </c>
      <c r="AP22" s="1821" t="s">
        <v>750</v>
      </c>
      <c r="AQ22" s="1821" t="s">
        <v>751</v>
      </c>
      <c r="AR22" s="1786" t="s">
        <v>774</v>
      </c>
      <c r="AS22" s="1821" t="s">
        <v>750</v>
      </c>
      <c r="AT22" s="1821" t="s">
        <v>751</v>
      </c>
      <c r="AU22" s="1786" t="s">
        <v>774</v>
      </c>
      <c r="AV22" s="1821" t="s">
        <v>750</v>
      </c>
      <c r="AW22" s="1821" t="s">
        <v>751</v>
      </c>
      <c r="AX22" s="1786" t="s">
        <v>774</v>
      </c>
      <c r="AY22" s="1821" t="s">
        <v>750</v>
      </c>
      <c r="AZ22" s="1821" t="s">
        <v>751</v>
      </c>
      <c r="BA22" s="1786" t="s">
        <v>774</v>
      </c>
      <c r="BB22" s="1821" t="s">
        <v>750</v>
      </c>
      <c r="BC22" s="1821" t="s">
        <v>751</v>
      </c>
      <c r="BD22" s="1786" t="s">
        <v>774</v>
      </c>
      <c r="BG22" s="1105" t="str">
        <f>IF(ISBLANK(Paramètres!$AQ26),"",Paramètres!AQ26)</f>
        <v>Chanvre</v>
      </c>
      <c r="BH22" s="1105" t="str">
        <f>IF(ISBLANK(Paramètres!$AQ26),"",Paramètres!AR26)</f>
        <v>TS</v>
      </c>
      <c r="BI22" s="1109">
        <f>IF(ISBLANK(Paramètres!$AQ26),"",Paramètres!AS26)</f>
        <v>15</v>
      </c>
      <c r="BJ22" s="1109">
        <f>IF(ISBLANK(Paramètres!$AQ26),"",Paramètres!AT26)</f>
        <v>7</v>
      </c>
      <c r="BK22" s="1109">
        <f>IF(ISBLANK(Paramètres!$AQ26),"",Paramètres!AU26)</f>
        <v>15</v>
      </c>
    </row>
    <row r="23" spans="1:77" x14ac:dyDescent="0.2">
      <c r="A23" s="1164"/>
      <c r="B23" s="694"/>
      <c r="C23" s="622"/>
      <c r="D23" s="622" t="s">
        <v>752</v>
      </c>
      <c r="E23" s="622"/>
      <c r="F23" s="617"/>
      <c r="G23" s="622"/>
      <c r="H23" s="622"/>
      <c r="I23" s="622"/>
      <c r="J23" s="1851" t="s">
        <v>625</v>
      </c>
      <c r="K23" s="1851" t="s">
        <v>187</v>
      </c>
      <c r="L23" s="1852" t="s">
        <v>665</v>
      </c>
      <c r="M23" s="1164"/>
      <c r="N23" s="1498"/>
      <c r="O23" s="1498"/>
      <c r="P23" s="1498"/>
      <c r="Q23" s="1498"/>
      <c r="R23" s="1498"/>
      <c r="S23" s="1498"/>
      <c r="T23" s="1498"/>
      <c r="U23" s="1498"/>
      <c r="V23" s="1498"/>
      <c r="W23" s="1498"/>
      <c r="X23" s="1498"/>
      <c r="Y23" s="1498"/>
      <c r="Z23" s="1498"/>
      <c r="AA23" s="1817" t="s">
        <v>744</v>
      </c>
      <c r="AB23" s="1818">
        <v>13</v>
      </c>
      <c r="AC23" s="759"/>
      <c r="AD23" s="1339"/>
      <c r="AE23" s="1339"/>
      <c r="AF23" s="1339"/>
      <c r="AG23" s="1339"/>
      <c r="AH23" s="1339"/>
      <c r="AI23" s="1339"/>
      <c r="AJ23" s="1820" t="s">
        <v>774</v>
      </c>
      <c r="AK23" s="1819">
        <v>2</v>
      </c>
      <c r="AL23" s="17" t="e">
        <f>SUM(AL20:AL22)</f>
        <v>#N/A</v>
      </c>
      <c r="AM23" s="805">
        <f>Paramètres!AR38</f>
        <v>50</v>
      </c>
      <c r="AN23" s="805">
        <f>Paramètres!AS38</f>
        <v>35</v>
      </c>
      <c r="AO23" s="805">
        <f>Paramètres!AT38</f>
        <v>20</v>
      </c>
      <c r="AP23" s="805">
        <f>Paramètres!AU38</f>
        <v>35</v>
      </c>
      <c r="AQ23" s="805">
        <f>Paramètres!AV38</f>
        <v>25</v>
      </c>
      <c r="AR23" s="805">
        <f>Paramètres!AW38</f>
        <v>10</v>
      </c>
      <c r="AS23" s="805">
        <f>Paramètres!AR43</f>
        <v>30</v>
      </c>
      <c r="AT23" s="805">
        <f>Paramètres!AS43</f>
        <v>20</v>
      </c>
      <c r="AU23" s="805">
        <f>Paramètres!AT43</f>
        <v>10</v>
      </c>
      <c r="AV23" s="805">
        <f>Paramètres!AU43</f>
        <v>20</v>
      </c>
      <c r="AW23" s="805">
        <f>Paramètres!AV43</f>
        <v>15</v>
      </c>
      <c r="AX23" s="805">
        <f>Paramètres!AW43</f>
        <v>10</v>
      </c>
      <c r="AY23" s="805">
        <f>Paramètres!AR48</f>
        <v>25</v>
      </c>
      <c r="AZ23" s="805">
        <f>Paramètres!AS48</f>
        <v>15</v>
      </c>
      <c r="BA23" s="805">
        <f>Paramètres!AT48</f>
        <v>5</v>
      </c>
      <c r="BB23" s="805">
        <f>Paramètres!AU48</f>
        <v>15</v>
      </c>
      <c r="BC23" s="805">
        <f>Paramètres!AV48</f>
        <v>10</v>
      </c>
      <c r="BD23" s="805">
        <f>Paramètres!AW48</f>
        <v>0</v>
      </c>
      <c r="BG23" s="1105" t="str">
        <f>IF(ISBLANK(Paramètres!$AQ27),"",Paramètres!AQ27)</f>
        <v>Choux fleurs récolte automne</v>
      </c>
      <c r="BH23" s="1105" t="str">
        <f>IF(ISBLANK(Paramètres!$AQ27),"",Paramètres!AR27)</f>
        <v>TF</v>
      </c>
      <c r="BI23" s="1109">
        <f>IF(ISBLANK(Paramètres!$AQ27),"",Paramètres!AS27)</f>
        <v>4.5999999999999996</v>
      </c>
      <c r="BJ23" s="1109">
        <f>IF(ISBLANK(Paramètres!$AQ27),"",Paramètres!AT27)</f>
        <v>1.9</v>
      </c>
      <c r="BK23" s="1109">
        <f>IF(ISBLANK(Paramètres!$AQ27),"",Paramètres!AU27)</f>
        <v>3.5</v>
      </c>
    </row>
    <row r="24" spans="1:77" ht="5.0999999999999996" customHeight="1" x14ac:dyDescent="0.2">
      <c r="A24" s="1164"/>
      <c r="B24" s="694"/>
      <c r="C24" s="622"/>
      <c r="D24" s="622"/>
      <c r="E24" s="622"/>
      <c r="F24" s="622"/>
      <c r="G24" s="622"/>
      <c r="H24" s="622"/>
      <c r="I24" s="622"/>
      <c r="J24" s="1463"/>
      <c r="K24" s="1463"/>
      <c r="L24" s="1875"/>
      <c r="M24" s="1164"/>
      <c r="N24" s="1498"/>
      <c r="O24" s="1498"/>
      <c r="P24" s="1498"/>
      <c r="Q24" s="1498"/>
      <c r="R24" s="1498"/>
      <c r="S24" s="1498"/>
      <c r="T24" s="1498"/>
      <c r="U24" s="1498"/>
      <c r="V24" s="1498"/>
      <c r="W24" s="1498"/>
      <c r="X24" s="1498"/>
      <c r="Y24" s="1498"/>
      <c r="Z24" s="1498"/>
      <c r="AA24" s="630"/>
      <c r="AL24" s="17">
        <f>COLUMN()</f>
        <v>38</v>
      </c>
      <c r="BG24" s="1105" t="str">
        <f>IF(ISBLANK(Paramètres!$AQ28),"",Paramètres!AQ28)</f>
        <v>Choux fleurs récolte fin hiver</v>
      </c>
      <c r="BH24" s="1105" t="str">
        <f>IF(ISBLANK(Paramètres!$AQ28),"",Paramètres!AR28)</f>
        <v>TF</v>
      </c>
      <c r="BI24" s="1109">
        <f>IF(ISBLANK(Paramètres!$AQ28),"",Paramètres!AS28)</f>
        <v>5.4</v>
      </c>
      <c r="BJ24" s="1109">
        <f>IF(ISBLANK(Paramètres!$AQ28),"",Paramètres!AT28)</f>
        <v>1.8</v>
      </c>
      <c r="BK24" s="1109">
        <f>IF(ISBLANK(Paramètres!$AQ28),"",Paramètres!AU28)</f>
        <v>4</v>
      </c>
    </row>
    <row r="25" spans="1:77" x14ac:dyDescent="0.2">
      <c r="A25" s="1164"/>
      <c r="B25" s="694"/>
      <c r="C25" s="622"/>
      <c r="D25" s="622" t="s">
        <v>741</v>
      </c>
      <c r="E25" s="622"/>
      <c r="F25" s="617"/>
      <c r="G25" s="622"/>
      <c r="H25" s="622"/>
      <c r="I25" s="622"/>
      <c r="J25" s="1856" t="e">
        <f>HLOOKUP(AL23,AM19:BD23,5,FALSE)</f>
        <v>#N/A</v>
      </c>
      <c r="K25" s="1463"/>
      <c r="L25" s="1875"/>
      <c r="M25" s="1164"/>
      <c r="N25" s="1498"/>
      <c r="O25" s="1498"/>
      <c r="P25" s="1498"/>
      <c r="Q25" s="1498"/>
      <c r="R25" s="1498"/>
      <c r="S25" s="1498"/>
      <c r="T25" s="1498"/>
      <c r="U25" s="1498"/>
      <c r="V25" s="1498"/>
      <c r="W25" s="1498"/>
      <c r="X25" s="1498"/>
      <c r="Y25" s="1498"/>
      <c r="Z25" s="1498"/>
      <c r="AA25" s="630"/>
      <c r="BG25" s="1105" t="str">
        <f>IF(ISBLANK(Paramètres!$AQ29),"",Paramètres!AQ29)</f>
        <v>Haricot vert conserve</v>
      </c>
      <c r="BH25" s="1105" t="str">
        <f>IF(ISBLANK(Paramètres!$AQ29),"",Paramètres!AR29)</f>
        <v>TF</v>
      </c>
      <c r="BI25" s="1109">
        <f>IF(ISBLANK(Paramètres!$AQ29),"",Paramètres!AS29)</f>
        <v>0</v>
      </c>
      <c r="BJ25" s="1109">
        <f>IF(ISBLANK(Paramètres!$AQ29),"",Paramètres!AT29)</f>
        <v>1.3</v>
      </c>
      <c r="BK25" s="1109">
        <f>IF(ISBLANK(Paramètres!$AQ29),"",Paramètres!AU29)</f>
        <v>3.5</v>
      </c>
    </row>
    <row r="26" spans="1:77" x14ac:dyDescent="0.2">
      <c r="A26" s="1164"/>
      <c r="B26" s="1538"/>
      <c r="C26" s="1537"/>
      <c r="D26" s="1537"/>
      <c r="E26" s="1537"/>
      <c r="F26" s="1537"/>
      <c r="G26" s="1537"/>
      <c r="H26" s="1537"/>
      <c r="I26" s="1537"/>
      <c r="J26" s="1463"/>
      <c r="K26" s="1463"/>
      <c r="L26" s="1875"/>
      <c r="M26" s="1164"/>
      <c r="N26" s="1498"/>
      <c r="O26" s="1498"/>
      <c r="P26" s="1498"/>
      <c r="Q26" s="1498"/>
      <c r="R26" s="1498"/>
      <c r="S26" s="1498"/>
      <c r="T26" s="1498"/>
      <c r="U26" s="1498"/>
      <c r="V26" s="1498"/>
      <c r="W26" s="1498"/>
      <c r="X26" s="1498"/>
      <c r="Y26" s="1498"/>
      <c r="Z26" s="1498"/>
      <c r="AA26" s="1556" t="s">
        <v>1210</v>
      </c>
      <c r="AB26" t="e">
        <f>HLOOKUP(AE32,AF30:AY33,4,FALSE)</f>
        <v>#N/A</v>
      </c>
      <c r="BG26" s="1105" t="str">
        <f>IF(ISBLANK(Paramètres!$AQ30),"",Paramètres!AQ30)</f>
        <v>Pois de conserve</v>
      </c>
      <c r="BH26" s="1105" t="str">
        <f>IF(ISBLANK(Paramètres!$AQ30),"",Paramètres!AR30)</f>
        <v>TF</v>
      </c>
      <c r="BI26" s="1109">
        <f>IF(ISBLANK(Paramètres!$AQ30),"",Paramètres!AS30)</f>
        <v>0</v>
      </c>
      <c r="BJ26" s="1109">
        <f>IF(ISBLANK(Paramètres!$AQ30),"",Paramètres!AT30)</f>
        <v>1.5</v>
      </c>
      <c r="BK26" s="1109">
        <f>IF(ISBLANK(Paramètres!$AQ30),"",Paramètres!AU30)</f>
        <v>4</v>
      </c>
    </row>
    <row r="27" spans="1:77" ht="12.75" customHeight="1" x14ac:dyDescent="0.2">
      <c r="A27" s="1164"/>
      <c r="B27" s="3214" t="s">
        <v>779</v>
      </c>
      <c r="C27" s="3215"/>
      <c r="D27" s="3215"/>
      <c r="E27" s="3215"/>
      <c r="F27" s="3215"/>
      <c r="G27" s="3215"/>
      <c r="H27" s="1537"/>
      <c r="I27" s="1537"/>
      <c r="J27" s="1463"/>
      <c r="K27" s="1463"/>
      <c r="L27" s="1875"/>
      <c r="M27" s="1164"/>
      <c r="N27" s="1498"/>
      <c r="O27" s="1498"/>
      <c r="P27" s="1498"/>
      <c r="Q27" s="1498"/>
      <c r="R27" s="1498"/>
      <c r="S27" s="1498"/>
      <c r="T27" s="1498"/>
      <c r="U27" s="1498"/>
      <c r="V27" s="1498"/>
      <c r="W27" s="1498"/>
      <c r="X27" s="1498"/>
      <c r="Y27" s="1498"/>
      <c r="Z27" s="1498"/>
      <c r="AA27" s="1556" t="s">
        <v>1211</v>
      </c>
      <c r="AB27" t="e">
        <f>HLOOKUP(AE32,BF30:BY33,4,FALSE)</f>
        <v>#N/A</v>
      </c>
      <c r="BG27" s="1105" t="str">
        <f>IF(ISBLANK(Paramètres!$AQ31),"",Paramètres!AQ31)</f>
        <v>Pomme de terre de plein champ</v>
      </c>
      <c r="BH27" s="1105" t="str">
        <f>IF(ISBLANK(Paramètres!$AQ31),"",Paramètres!AR31)</f>
        <v>TF</v>
      </c>
      <c r="BI27" s="1109">
        <f>IF(ISBLANK(Paramètres!$AQ31),"",Paramètres!AS31)</f>
        <v>3.8</v>
      </c>
      <c r="BJ27" s="1109">
        <f>IF(ISBLANK(Paramètres!$AQ31),"",Paramètres!AT31)</f>
        <v>1.2</v>
      </c>
      <c r="BK27" s="1109">
        <f>IF(ISBLANK(Paramètres!$AQ31),"",Paramètres!AU31)</f>
        <v>4.2</v>
      </c>
    </row>
    <row r="28" spans="1:77" ht="12.75" customHeight="1" x14ac:dyDescent="0.2">
      <c r="A28" s="1164"/>
      <c r="B28" s="694"/>
      <c r="C28" s="622"/>
      <c r="D28" s="622"/>
      <c r="E28" s="622"/>
      <c r="F28" s="622"/>
      <c r="G28" s="622"/>
      <c r="H28" s="622"/>
      <c r="I28" s="622"/>
      <c r="J28" s="1463"/>
      <c r="K28" s="1463"/>
      <c r="L28" s="1875"/>
      <c r="M28" s="1164"/>
      <c r="N28" s="1498"/>
      <c r="O28" s="1498"/>
      <c r="P28" s="1498"/>
      <c r="Q28" s="1498"/>
      <c r="R28" s="1498"/>
      <c r="S28" s="1498"/>
      <c r="T28" s="1498"/>
      <c r="U28" s="1498"/>
      <c r="V28" s="1498"/>
      <c r="W28" s="1498"/>
      <c r="X28" s="1498"/>
      <c r="Y28" s="1498"/>
      <c r="Z28" s="1498"/>
      <c r="BG28" s="1105" t="str">
        <f>IF(ISBLANK(Paramètres!$AQ32),"",Paramètres!AQ32)</f>
        <v>Pomme de terre fécule</v>
      </c>
      <c r="BH28" s="1105" t="str">
        <f>IF(ISBLANK(Paramètres!$AQ32),"",Paramètres!AR32)</f>
        <v>TF</v>
      </c>
      <c r="BI28" s="1109">
        <f>IF(ISBLANK(Paramètres!$AQ32),"",Paramètres!AS32)</f>
        <v>4.5</v>
      </c>
      <c r="BJ28" s="1109">
        <f>IF(ISBLANK(Paramètres!$AQ32),"",Paramètres!AT32)</f>
        <v>1.4</v>
      </c>
      <c r="BK28" s="1109">
        <f>IF(ISBLANK(Paramètres!$AQ32),"",Paramètres!AU32)</f>
        <v>5.5</v>
      </c>
    </row>
    <row r="29" spans="1:77" ht="12.75" customHeight="1" x14ac:dyDescent="0.2">
      <c r="A29" s="1164"/>
      <c r="B29" s="1538"/>
      <c r="C29" s="1535"/>
      <c r="D29" s="1536" t="s">
        <v>1209</v>
      </c>
      <c r="E29" s="1535"/>
      <c r="F29" s="617"/>
      <c r="G29" s="1535"/>
      <c r="H29" s="622"/>
      <c r="I29" s="622"/>
      <c r="J29" s="1463"/>
      <c r="K29" s="1463"/>
      <c r="L29" s="1875"/>
      <c r="M29" s="1164"/>
      <c r="N29" s="1498"/>
      <c r="O29" s="1498"/>
      <c r="P29" s="1498"/>
      <c r="Q29" s="1498"/>
      <c r="R29" s="1498"/>
      <c r="S29" s="1498"/>
      <c r="T29" s="1498"/>
      <c r="U29" s="1498"/>
      <c r="V29" s="1498"/>
      <c r="W29" s="1498"/>
      <c r="X29" s="1498"/>
      <c r="Y29" s="1498"/>
      <c r="Z29" s="1498"/>
      <c r="AA29" s="1337" t="s">
        <v>592</v>
      </c>
      <c r="AB29" s="630"/>
      <c r="BA29" s="1337" t="s">
        <v>592</v>
      </c>
      <c r="BB29" s="1337"/>
      <c r="BC29" s="1337"/>
      <c r="BD29" s="1337"/>
    </row>
    <row r="30" spans="1:77" ht="12.75" customHeight="1" x14ac:dyDescent="0.2">
      <c r="A30" s="1164"/>
      <c r="B30" s="694"/>
      <c r="C30" s="622"/>
      <c r="D30" s="622"/>
      <c r="E30" s="622"/>
      <c r="F30" s="622"/>
      <c r="G30" s="622"/>
      <c r="H30" s="622"/>
      <c r="I30" s="622"/>
      <c r="J30" s="1463"/>
      <c r="K30" s="1463"/>
      <c r="L30" s="1875"/>
      <c r="M30" s="1164"/>
      <c r="N30" s="1498"/>
      <c r="O30" s="1498"/>
      <c r="P30" s="1498"/>
      <c r="Q30" s="1498"/>
      <c r="R30" s="1498"/>
      <c r="S30" s="1498"/>
      <c r="T30" s="1498"/>
      <c r="U30" s="1498"/>
      <c r="V30" s="1498"/>
      <c r="W30" s="1498"/>
      <c r="X30" s="1498"/>
      <c r="Y30" s="1498"/>
      <c r="Z30" s="1498"/>
      <c r="AA30" s="1813" t="s">
        <v>773</v>
      </c>
      <c r="AB30" s="1809">
        <v>1</v>
      </c>
      <c r="AC30" s="1813" t="s">
        <v>776</v>
      </c>
      <c r="AD30" s="1814">
        <v>0</v>
      </c>
      <c r="AE30" s="1112" t="e">
        <f>VLOOKUP(F31,AA30:AB34,2,FALSE)</f>
        <v>#N/A</v>
      </c>
      <c r="AF30" s="1821">
        <v>1</v>
      </c>
      <c r="AG30" s="1821">
        <v>2</v>
      </c>
      <c r="AH30" s="1821">
        <v>3</v>
      </c>
      <c r="AI30" s="1821">
        <v>4</v>
      </c>
      <c r="AJ30" s="1821">
        <v>5</v>
      </c>
      <c r="AK30" s="1821">
        <v>6</v>
      </c>
      <c r="AL30" s="1821">
        <v>7</v>
      </c>
      <c r="AM30" s="1821">
        <v>8</v>
      </c>
      <c r="AN30" s="1821">
        <v>9</v>
      </c>
      <c r="AO30" s="1821">
        <v>10</v>
      </c>
      <c r="AP30" s="1821">
        <v>11</v>
      </c>
      <c r="AQ30" s="1821">
        <v>12</v>
      </c>
      <c r="AR30" s="1821">
        <v>13</v>
      </c>
      <c r="AS30" s="1821">
        <v>14</v>
      </c>
      <c r="AT30" s="1821">
        <v>15</v>
      </c>
      <c r="AU30" s="1821">
        <v>16</v>
      </c>
      <c r="AV30" s="1821">
        <v>17</v>
      </c>
      <c r="AW30" s="1821">
        <v>18</v>
      </c>
      <c r="AX30" s="1821">
        <v>19</v>
      </c>
      <c r="AY30" s="1821">
        <v>20</v>
      </c>
      <c r="BA30" s="1813" t="s">
        <v>773</v>
      </c>
      <c r="BB30" s="1809">
        <v>1</v>
      </c>
      <c r="BC30" s="1813" t="s">
        <v>776</v>
      </c>
      <c r="BD30" s="1814">
        <v>0</v>
      </c>
      <c r="BF30" s="1821">
        <v>1</v>
      </c>
      <c r="BG30" s="1821">
        <v>2</v>
      </c>
      <c r="BH30" s="1821">
        <v>3</v>
      </c>
      <c r="BI30" s="1821">
        <v>4</v>
      </c>
      <c r="BJ30" s="1821">
        <v>5</v>
      </c>
      <c r="BK30" s="1821">
        <v>6</v>
      </c>
      <c r="BL30" s="1821">
        <v>7</v>
      </c>
      <c r="BM30" s="1821">
        <v>8</v>
      </c>
      <c r="BN30" s="1821">
        <v>9</v>
      </c>
      <c r="BO30" s="1821">
        <v>10</v>
      </c>
      <c r="BP30" s="1821">
        <v>11</v>
      </c>
      <c r="BQ30" s="1821">
        <v>12</v>
      </c>
      <c r="BR30" s="1821">
        <v>13</v>
      </c>
      <c r="BS30" s="1821">
        <v>14</v>
      </c>
      <c r="BT30" s="1821">
        <v>15</v>
      </c>
      <c r="BU30" s="1821">
        <v>16</v>
      </c>
      <c r="BV30" s="1821">
        <v>17</v>
      </c>
      <c r="BW30" s="1821">
        <v>18</v>
      </c>
      <c r="BX30" s="1821">
        <v>19</v>
      </c>
      <c r="BY30" s="1821">
        <v>20</v>
      </c>
    </row>
    <row r="31" spans="1:77" ht="12.75" customHeight="1" x14ac:dyDescent="0.2">
      <c r="A31" s="1164"/>
      <c r="B31" s="694"/>
      <c r="C31" s="622"/>
      <c r="D31" s="706" t="s">
        <v>771</v>
      </c>
      <c r="E31" s="622"/>
      <c r="F31" s="617"/>
      <c r="G31" s="622"/>
      <c r="H31" s="622"/>
      <c r="I31" s="1242" t="str">
        <f>IF(Cu_Temp=AA29,"Fertilisation N interdite derrière une prairie juste retournée","")</f>
        <v/>
      </c>
      <c r="J31" s="1463"/>
      <c r="K31" s="1463"/>
      <c r="L31" s="1875"/>
      <c r="M31" s="1164"/>
      <c r="N31" s="1498"/>
      <c r="O31" s="1498"/>
      <c r="P31" s="1498"/>
      <c r="Q31" s="1498"/>
      <c r="R31" s="1498"/>
      <c r="S31" s="1498"/>
      <c r="T31" s="1498"/>
      <c r="U31" s="1498"/>
      <c r="V31" s="1498"/>
      <c r="W31" s="1498"/>
      <c r="X31" s="1498"/>
      <c r="Y31" s="1498"/>
      <c r="Z31" s="1498"/>
      <c r="AA31" s="1815" t="s">
        <v>750</v>
      </c>
      <c r="AB31" s="1810">
        <v>2</v>
      </c>
      <c r="AC31" s="1815" t="s">
        <v>774</v>
      </c>
      <c r="AD31" s="1816">
        <v>5</v>
      </c>
      <c r="AE31" s="833" t="e">
        <f>VLOOKUP(F33,AC30:AD33,2,FALSE)</f>
        <v>#N/A</v>
      </c>
      <c r="AF31" s="3277" t="s">
        <v>776</v>
      </c>
      <c r="AG31" s="3278"/>
      <c r="AH31" s="3278"/>
      <c r="AI31" s="3278"/>
      <c r="AJ31" s="3279"/>
      <c r="AK31" s="3277" t="s">
        <v>774</v>
      </c>
      <c r="AL31" s="3278"/>
      <c r="AM31" s="3278"/>
      <c r="AN31" s="3278"/>
      <c r="AO31" s="3279"/>
      <c r="AP31" s="3277" t="s">
        <v>775</v>
      </c>
      <c r="AQ31" s="3278"/>
      <c r="AR31" s="3278"/>
      <c r="AS31" s="3278"/>
      <c r="AT31" s="3279"/>
      <c r="AU31" s="3277" t="s">
        <v>777</v>
      </c>
      <c r="AV31" s="3278"/>
      <c r="AW31" s="3278"/>
      <c r="AX31" s="3278"/>
      <c r="AY31" s="3279"/>
      <c r="BA31" s="1815" t="s">
        <v>750</v>
      </c>
      <c r="BB31" s="1810">
        <v>2</v>
      </c>
      <c r="BC31" s="1815" t="s">
        <v>774</v>
      </c>
      <c r="BD31" s="1816">
        <v>5</v>
      </c>
      <c r="BF31" s="3277" t="s">
        <v>776</v>
      </c>
      <c r="BG31" s="3278"/>
      <c r="BH31" s="3278"/>
      <c r="BI31" s="3278"/>
      <c r="BJ31" s="3279"/>
      <c r="BK31" s="3277" t="s">
        <v>774</v>
      </c>
      <c r="BL31" s="3278"/>
      <c r="BM31" s="3278"/>
      <c r="BN31" s="3278"/>
      <c r="BO31" s="3279"/>
      <c r="BP31" s="3277" t="s">
        <v>775</v>
      </c>
      <c r="BQ31" s="3278"/>
      <c r="BR31" s="3278"/>
      <c r="BS31" s="3278"/>
      <c r="BT31" s="3279"/>
      <c r="BU31" s="3277" t="s">
        <v>777</v>
      </c>
      <c r="BV31" s="3278"/>
      <c r="BW31" s="3278"/>
      <c r="BX31" s="3278"/>
      <c r="BY31" s="3279"/>
    </row>
    <row r="32" spans="1:77" ht="12.75" customHeight="1" x14ac:dyDescent="0.2">
      <c r="A32" s="1164"/>
      <c r="B32" s="694"/>
      <c r="C32" s="622"/>
      <c r="D32" s="622"/>
      <c r="E32" s="622"/>
      <c r="F32" s="622"/>
      <c r="G32" s="622"/>
      <c r="H32" s="622"/>
      <c r="I32" s="622"/>
      <c r="J32" s="1463"/>
      <c r="K32" s="1463"/>
      <c r="L32" s="1875"/>
      <c r="M32" s="1164"/>
      <c r="N32" s="1498"/>
      <c r="O32" s="1498"/>
      <c r="P32" s="1498"/>
      <c r="Q32" s="1498"/>
      <c r="R32" s="1498"/>
      <c r="S32" s="1498"/>
      <c r="T32" s="1498"/>
      <c r="U32" s="1498"/>
      <c r="V32" s="1498"/>
      <c r="W32" s="1498"/>
      <c r="X32" s="1498"/>
      <c r="Y32" s="1498"/>
      <c r="Z32" s="1498"/>
      <c r="AA32" s="1815" t="s">
        <v>751</v>
      </c>
      <c r="AB32" s="1810">
        <v>3</v>
      </c>
      <c r="AC32" s="1815" t="s">
        <v>775</v>
      </c>
      <c r="AD32" s="1816">
        <v>10</v>
      </c>
      <c r="AE32" s="833" t="e">
        <f>AE30+AE31</f>
        <v>#N/A</v>
      </c>
      <c r="AF32" s="1822" t="s">
        <v>773</v>
      </c>
      <c r="AG32" s="1823" t="s">
        <v>750</v>
      </c>
      <c r="AH32" s="1823" t="s">
        <v>751</v>
      </c>
      <c r="AI32" s="1823" t="s">
        <v>774</v>
      </c>
      <c r="AJ32" s="1824" t="s">
        <v>775</v>
      </c>
      <c r="AK32" s="1822" t="s">
        <v>773</v>
      </c>
      <c r="AL32" s="1823" t="s">
        <v>750</v>
      </c>
      <c r="AM32" s="1823" t="s">
        <v>751</v>
      </c>
      <c r="AN32" s="1823" t="s">
        <v>774</v>
      </c>
      <c r="AO32" s="1824" t="s">
        <v>775</v>
      </c>
      <c r="AP32" s="1822" t="s">
        <v>773</v>
      </c>
      <c r="AQ32" s="1823" t="s">
        <v>750</v>
      </c>
      <c r="AR32" s="1823" t="s">
        <v>751</v>
      </c>
      <c r="AS32" s="1823" t="s">
        <v>774</v>
      </c>
      <c r="AT32" s="1824" t="s">
        <v>775</v>
      </c>
      <c r="AU32" s="1822" t="s">
        <v>773</v>
      </c>
      <c r="AV32" s="1823" t="s">
        <v>750</v>
      </c>
      <c r="AW32" s="1823" t="s">
        <v>751</v>
      </c>
      <c r="AX32" s="1823" t="s">
        <v>774</v>
      </c>
      <c r="AY32" s="1824" t="s">
        <v>775</v>
      </c>
      <c r="BA32" s="1815" t="s">
        <v>751</v>
      </c>
      <c r="BB32" s="1810">
        <v>3</v>
      </c>
      <c r="BC32" s="1815" t="s">
        <v>775</v>
      </c>
      <c r="BD32" s="1816">
        <v>10</v>
      </c>
      <c r="BF32" s="1822" t="s">
        <v>773</v>
      </c>
      <c r="BG32" s="1823" t="s">
        <v>750</v>
      </c>
      <c r="BH32" s="1823" t="s">
        <v>751</v>
      </c>
      <c r="BI32" s="1823" t="s">
        <v>774</v>
      </c>
      <c r="BJ32" s="1824" t="s">
        <v>775</v>
      </c>
      <c r="BK32" s="1822" t="s">
        <v>773</v>
      </c>
      <c r="BL32" s="1823" t="s">
        <v>750</v>
      </c>
      <c r="BM32" s="1823" t="s">
        <v>751</v>
      </c>
      <c r="BN32" s="1823" t="s">
        <v>774</v>
      </c>
      <c r="BO32" s="1824" t="s">
        <v>775</v>
      </c>
      <c r="BP32" s="1822" t="s">
        <v>773</v>
      </c>
      <c r="BQ32" s="1823" t="s">
        <v>750</v>
      </c>
      <c r="BR32" s="1823" t="s">
        <v>751</v>
      </c>
      <c r="BS32" s="1823" t="s">
        <v>774</v>
      </c>
      <c r="BT32" s="1824" t="s">
        <v>775</v>
      </c>
      <c r="BU32" s="1822" t="s">
        <v>773</v>
      </c>
      <c r="BV32" s="1823" t="s">
        <v>750</v>
      </c>
      <c r="BW32" s="1823" t="s">
        <v>751</v>
      </c>
      <c r="BX32" s="1823" t="s">
        <v>774</v>
      </c>
      <c r="BY32" s="1824" t="s">
        <v>775</v>
      </c>
    </row>
    <row r="33" spans="1:77" ht="12.75" customHeight="1" x14ac:dyDescent="0.2">
      <c r="A33" s="1164"/>
      <c r="B33" s="694"/>
      <c r="C33" s="622"/>
      <c r="D33" s="622" t="s">
        <v>772</v>
      </c>
      <c r="E33" s="622"/>
      <c r="F33" s="617"/>
      <c r="G33" s="622"/>
      <c r="H33" s="622"/>
      <c r="I33" s="699"/>
      <c r="J33" s="1856" t="e">
        <f>VLOOKUP(F29,AA26:AB27,2,FALSE)</f>
        <v>#N/A</v>
      </c>
      <c r="K33" s="1463"/>
      <c r="L33" s="1875"/>
      <c r="M33" s="1164"/>
      <c r="N33" s="1498"/>
      <c r="O33" s="1498"/>
      <c r="P33" s="1498"/>
      <c r="Q33" s="1498"/>
      <c r="R33" s="1498"/>
      <c r="S33" s="1498"/>
      <c r="T33" s="1498"/>
      <c r="U33" s="1498"/>
      <c r="V33" s="1498"/>
      <c r="W33" s="1498"/>
      <c r="X33" s="1498"/>
      <c r="Y33" s="1498"/>
      <c r="Z33" s="1498"/>
      <c r="AA33" s="1815" t="s">
        <v>774</v>
      </c>
      <c r="AB33" s="1810">
        <v>4</v>
      </c>
      <c r="AC33" s="1817" t="s">
        <v>777</v>
      </c>
      <c r="AD33" s="1818">
        <v>15</v>
      </c>
      <c r="AE33" s="759"/>
      <c r="AF33" s="1116">
        <f>Paramètres!AR55</f>
        <v>40</v>
      </c>
      <c r="AG33" s="815">
        <f>Paramètres!AS55</f>
        <v>0</v>
      </c>
      <c r="AH33" s="815">
        <f>Paramètres!AT55</f>
        <v>0</v>
      </c>
      <c r="AI33" s="815">
        <f>Paramètres!AU55</f>
        <v>0</v>
      </c>
      <c r="AJ33" s="816">
        <f>Paramètres!AV55</f>
        <v>0</v>
      </c>
      <c r="AK33" s="1116">
        <f>Paramètres!AR59</f>
        <v>100</v>
      </c>
      <c r="AL33" s="815">
        <f>Paramètres!AS59</f>
        <v>25</v>
      </c>
      <c r="AM33" s="815">
        <f>Paramètres!AT59</f>
        <v>0</v>
      </c>
      <c r="AN33" s="815">
        <f>Paramètres!AU59</f>
        <v>0</v>
      </c>
      <c r="AO33" s="816">
        <f>Paramètres!AV59</f>
        <v>0</v>
      </c>
      <c r="AP33" s="1116">
        <f>Paramètres!AR63</f>
        <v>120</v>
      </c>
      <c r="AQ33" s="815">
        <f>Paramètres!AS63</f>
        <v>30</v>
      </c>
      <c r="AR33" s="815">
        <f>Paramètres!AT63</f>
        <v>0</v>
      </c>
      <c r="AS33" s="815">
        <f>Paramètres!AU63</f>
        <v>0</v>
      </c>
      <c r="AT33" s="816">
        <f>Paramètres!AV63</f>
        <v>0</v>
      </c>
      <c r="AU33" s="1116">
        <f>Paramètres!AR67</f>
        <v>140</v>
      </c>
      <c r="AV33" s="815">
        <f>Paramètres!AS67</f>
        <v>40</v>
      </c>
      <c r="AW33" s="815">
        <f>Paramètres!AT67</f>
        <v>0</v>
      </c>
      <c r="AX33" s="815">
        <f>Paramètres!AU67</f>
        <v>0</v>
      </c>
      <c r="AY33" s="816">
        <f>Paramètres!AV67</f>
        <v>0</v>
      </c>
      <c r="BA33" s="1815" t="s">
        <v>774</v>
      </c>
      <c r="BB33" s="1810">
        <v>4</v>
      </c>
      <c r="BC33" s="1817" t="s">
        <v>777</v>
      </c>
      <c r="BD33" s="1818">
        <v>15</v>
      </c>
      <c r="BE33" s="606"/>
      <c r="BF33" s="1116">
        <f>Paramètres!AR72</f>
        <v>30</v>
      </c>
      <c r="BG33" s="815">
        <f>Paramètres!AS72</f>
        <v>0</v>
      </c>
      <c r="BH33" s="815">
        <f>Paramètres!AT72</f>
        <v>0</v>
      </c>
      <c r="BI33" s="815">
        <f>Paramètres!AU72</f>
        <v>0</v>
      </c>
      <c r="BJ33" s="816">
        <f>Paramètres!AV72</f>
        <v>0</v>
      </c>
      <c r="BK33" s="1116">
        <f>Paramètres!AR76</f>
        <v>50</v>
      </c>
      <c r="BL33" s="815">
        <f>Paramètres!AS76</f>
        <v>0</v>
      </c>
      <c r="BM33" s="815">
        <f>Paramètres!AT76</f>
        <v>0</v>
      </c>
      <c r="BN33" s="815">
        <f>Paramètres!AU76</f>
        <v>0</v>
      </c>
      <c r="BO33" s="816">
        <f>Paramètres!AV76</f>
        <v>0</v>
      </c>
      <c r="BP33" s="1116">
        <f>Paramètres!AR80</f>
        <v>60</v>
      </c>
      <c r="BQ33" s="815">
        <f>Paramètres!AS80</f>
        <v>0</v>
      </c>
      <c r="BR33" s="815">
        <f>Paramètres!AT80</f>
        <v>0</v>
      </c>
      <c r="BS33" s="815">
        <f>Paramètres!AU80</f>
        <v>0</v>
      </c>
      <c r="BT33" s="816">
        <f>Paramètres!AV80</f>
        <v>0</v>
      </c>
      <c r="BU33" s="1116">
        <f>Paramètres!AR84</f>
        <v>70</v>
      </c>
      <c r="BV33" s="815">
        <f>Paramètres!AS84</f>
        <v>0</v>
      </c>
      <c r="BW33" s="815">
        <f>Paramètres!AT84</f>
        <v>0</v>
      </c>
      <c r="BX33" s="815">
        <f>Paramètres!AU84</f>
        <v>0</v>
      </c>
      <c r="BY33" s="816">
        <f>Paramètres!AV84</f>
        <v>0</v>
      </c>
    </row>
    <row r="34" spans="1:77" ht="12.75" customHeight="1" x14ac:dyDescent="0.2">
      <c r="A34" s="1164"/>
      <c r="B34" s="694"/>
      <c r="C34" s="622"/>
      <c r="D34" s="622"/>
      <c r="E34" s="622"/>
      <c r="F34" s="622"/>
      <c r="G34" s="622"/>
      <c r="H34" s="622"/>
      <c r="I34" s="622"/>
      <c r="J34" s="1463"/>
      <c r="K34" s="1463"/>
      <c r="L34" s="1875"/>
      <c r="M34" s="1164"/>
      <c r="N34" s="1498"/>
      <c r="O34" s="1498"/>
      <c r="P34" s="1498"/>
      <c r="Q34" s="1498"/>
      <c r="R34" s="1498"/>
      <c r="S34" s="1498"/>
      <c r="T34" s="1498"/>
      <c r="U34" s="1498"/>
      <c r="V34" s="1498"/>
      <c r="W34" s="1498"/>
      <c r="X34" s="1498"/>
      <c r="Y34" s="1498"/>
      <c r="Z34" s="1498"/>
      <c r="AA34" s="1817" t="s">
        <v>778</v>
      </c>
      <c r="AB34" s="1819">
        <v>5</v>
      </c>
      <c r="BA34" s="1817" t="s">
        <v>778</v>
      </c>
      <c r="BB34" s="1819">
        <v>5</v>
      </c>
      <c r="BC34" s="630"/>
      <c r="BD34" s="630"/>
      <c r="BE34" s="1686"/>
    </row>
    <row r="35" spans="1:77" x14ac:dyDescent="0.2">
      <c r="A35" s="1164"/>
      <c r="B35" s="3214" t="s">
        <v>780</v>
      </c>
      <c r="C35" s="3215"/>
      <c r="D35" s="3215"/>
      <c r="E35" s="3215"/>
      <c r="F35" s="3215"/>
      <c r="G35" s="3215"/>
      <c r="H35" s="622"/>
      <c r="I35" s="622"/>
      <c r="J35" s="1463"/>
      <c r="K35" s="1463"/>
      <c r="L35" s="1875"/>
      <c r="M35" s="1164"/>
      <c r="N35" s="1498"/>
      <c r="O35" s="1498"/>
      <c r="P35" s="1498"/>
      <c r="Q35" s="1498"/>
      <c r="R35" s="1498"/>
      <c r="S35" s="1498"/>
      <c r="T35" s="1498"/>
      <c r="U35" s="1498"/>
      <c r="V35" s="1498"/>
      <c r="W35" s="1498"/>
      <c r="X35" s="1498"/>
      <c r="Y35" s="1498"/>
      <c r="Z35" s="1498"/>
      <c r="AG35" s="1736" t="e">
        <f>VLOOKUP(Cu_Sol,AG36:AH38,2,FALSE)</f>
        <v>#N/A</v>
      </c>
    </row>
    <row r="36" spans="1:77" ht="5.0999999999999996" customHeight="1" x14ac:dyDescent="0.2">
      <c r="A36" s="1164"/>
      <c r="B36" s="694"/>
      <c r="C36" s="622"/>
      <c r="D36" s="622"/>
      <c r="E36" s="622"/>
      <c r="F36" s="622"/>
      <c r="G36" s="622"/>
      <c r="H36" s="622"/>
      <c r="I36" s="622"/>
      <c r="J36" s="1463"/>
      <c r="K36" s="1463"/>
      <c r="L36" s="1875"/>
      <c r="M36" s="1164"/>
      <c r="N36" s="1498"/>
      <c r="O36" s="1498"/>
      <c r="P36" s="1498"/>
      <c r="Q36" s="1498"/>
      <c r="R36" s="1498"/>
      <c r="S36" s="1498"/>
      <c r="T36" s="1498"/>
      <c r="U36" s="1498"/>
      <c r="V36" s="1498"/>
      <c r="W36" s="1498"/>
      <c r="X36" s="1498"/>
      <c r="Y36" s="1498"/>
      <c r="Z36" s="1498"/>
      <c r="AA36" s="1041"/>
      <c r="AB36" s="1823" t="s">
        <v>625</v>
      </c>
      <c r="AC36" s="1823" t="s">
        <v>187</v>
      </c>
      <c r="AD36" s="1824" t="s">
        <v>790</v>
      </c>
      <c r="AG36" s="1520" t="s">
        <v>2401</v>
      </c>
      <c r="AH36" s="1369">
        <v>-15</v>
      </c>
      <c r="AK36" s="1520" t="s">
        <v>2385</v>
      </c>
      <c r="AL36" s="1520" t="s">
        <v>2386</v>
      </c>
      <c r="AM36" s="1520" t="s">
        <v>2387</v>
      </c>
      <c r="AN36" s="1520" t="s">
        <v>2388</v>
      </c>
      <c r="AO36" s="1520" t="s">
        <v>2389</v>
      </c>
      <c r="AP36" s="1520" t="s">
        <v>2395</v>
      </c>
      <c r="AQ36" s="1520" t="s">
        <v>2396</v>
      </c>
    </row>
    <row r="37" spans="1:77" x14ac:dyDescent="0.2">
      <c r="A37" s="1164"/>
      <c r="B37" s="694"/>
      <c r="C37" s="699" t="s">
        <v>795</v>
      </c>
      <c r="D37" s="3247"/>
      <c r="E37" s="3248"/>
      <c r="F37" s="3249"/>
      <c r="G37" s="622"/>
      <c r="H37" s="622"/>
      <c r="I37" s="622"/>
      <c r="J37" s="1856" t="e">
        <f>VLOOKUP(Cu_CuPre,$AA37:$AD46,2,FALSE)</f>
        <v>#N/A</v>
      </c>
      <c r="K37" s="1856" t="e">
        <f>VLOOKUP(Cu_CuPre,$AA37:$AD46,3,FALSE)</f>
        <v>#N/A</v>
      </c>
      <c r="L37" s="1894" t="e">
        <f>VLOOKUP(Cu_CuPre,$AA37:$AD46,4,FALSE)</f>
        <v>#N/A</v>
      </c>
      <c r="M37" s="1164"/>
      <c r="N37" s="1498"/>
      <c r="O37" s="1498"/>
      <c r="P37" s="1498"/>
      <c r="Q37" s="1498"/>
      <c r="R37" s="1498"/>
      <c r="S37" s="1498"/>
      <c r="T37" s="1498"/>
      <c r="U37" s="1498"/>
      <c r="V37" s="1498"/>
      <c r="W37" s="1498"/>
      <c r="X37" s="1498"/>
      <c r="Y37" s="1498"/>
      <c r="Z37" s="1498"/>
      <c r="AA37" s="1815" t="s">
        <v>781</v>
      </c>
      <c r="AB37" s="812">
        <f>Paramètres!AR89</f>
        <v>-20</v>
      </c>
      <c r="AC37" s="812">
        <f>Paramètres!AS89</f>
        <v>15</v>
      </c>
      <c r="AD37" s="813">
        <f>Paramètres!AT89</f>
        <v>35</v>
      </c>
      <c r="AG37" s="1520" t="s">
        <v>2400</v>
      </c>
      <c r="AH37" s="1369">
        <v>0</v>
      </c>
      <c r="AJ37" s="17" t="str">
        <f t="shared" ref="AJ37:AJ38" si="0">BG3</f>
        <v>Blé tendre</v>
      </c>
      <c r="AK37" s="805">
        <f>Paramètres!AR102</f>
        <v>50</v>
      </c>
      <c r="AL37" s="805">
        <f>Paramètres!AS102</f>
        <v>60</v>
      </c>
      <c r="AM37" s="805">
        <f>Paramètres!AT102</f>
        <v>60</v>
      </c>
      <c r="AN37" s="805">
        <f>Paramètres!AU102</f>
        <v>80</v>
      </c>
      <c r="AO37" s="805">
        <f>Paramètres!AV102</f>
        <v>100</v>
      </c>
      <c r="AP37" s="805">
        <f>Paramètres!AW102</f>
        <v>90</v>
      </c>
      <c r="AQ37" s="805">
        <f>Paramètres!AX102</f>
        <v>70</v>
      </c>
    </row>
    <row r="38" spans="1:77" ht="5.0999999999999996" customHeight="1" x14ac:dyDescent="0.2">
      <c r="A38" s="1164"/>
      <c r="B38" s="694"/>
      <c r="C38" s="622"/>
      <c r="D38" s="622"/>
      <c r="E38" s="622"/>
      <c r="F38" s="622"/>
      <c r="G38" s="622"/>
      <c r="H38" s="622"/>
      <c r="I38" s="622"/>
      <c r="J38" s="1463"/>
      <c r="K38" s="1463"/>
      <c r="L38" s="1875"/>
      <c r="M38" s="1164"/>
      <c r="N38" s="1498"/>
      <c r="O38" s="1498"/>
      <c r="P38" s="1498"/>
      <c r="Q38" s="1498"/>
      <c r="R38" s="1498"/>
      <c r="S38" s="1498"/>
      <c r="T38" s="1498"/>
      <c r="U38" s="1498"/>
      <c r="V38" s="1498"/>
      <c r="W38" s="1498"/>
      <c r="X38" s="1498"/>
      <c r="Y38" s="1498"/>
      <c r="Z38" s="1498"/>
      <c r="AA38" s="1815" t="s">
        <v>782</v>
      </c>
      <c r="AB38" s="812">
        <f>Paramètres!AR90</f>
        <v>0</v>
      </c>
      <c r="AC38" s="812">
        <f>Paramètres!AS90</f>
        <v>0</v>
      </c>
      <c r="AD38" s="813">
        <f>Paramètres!AT90</f>
        <v>0</v>
      </c>
      <c r="AG38" s="1520" t="s">
        <v>2397</v>
      </c>
      <c r="AH38" s="1369">
        <v>20</v>
      </c>
      <c r="AJ38" s="17" t="str">
        <f t="shared" si="0"/>
        <v>Blé améliorant et blé dur</v>
      </c>
      <c r="AK38" s="805">
        <f>Paramètres!AR103</f>
        <v>50</v>
      </c>
      <c r="AL38" s="805">
        <f>Paramètres!AS103</f>
        <v>60</v>
      </c>
      <c r="AM38" s="805">
        <f>Paramètres!AT103</f>
        <v>60</v>
      </c>
      <c r="AN38" s="805">
        <f>Paramètres!AU103</f>
        <v>80</v>
      </c>
      <c r="AO38" s="805">
        <f>Paramètres!AV103</f>
        <v>100</v>
      </c>
      <c r="AP38" s="805">
        <f>Paramètres!AW103</f>
        <v>90</v>
      </c>
      <c r="AQ38" s="805">
        <f>Paramètres!AX103</f>
        <v>70</v>
      </c>
    </row>
    <row r="39" spans="1:77" x14ac:dyDescent="0.2">
      <c r="A39" s="1164"/>
      <c r="B39" s="3214" t="s">
        <v>796</v>
      </c>
      <c r="C39" s="3215"/>
      <c r="D39" s="3215"/>
      <c r="E39" s="3215"/>
      <c r="F39" s="3215"/>
      <c r="G39" s="3215"/>
      <c r="H39" s="622"/>
      <c r="I39" s="622"/>
      <c r="J39" s="1463"/>
      <c r="K39" s="1463"/>
      <c r="L39" s="1875"/>
      <c r="M39" s="1164"/>
      <c r="N39" s="1498"/>
      <c r="O39" s="1498"/>
      <c r="P39" s="1498"/>
      <c r="Q39" s="1498"/>
      <c r="R39" s="1498"/>
      <c r="S39" s="1498"/>
      <c r="T39" s="1498"/>
      <c r="U39" s="1498"/>
      <c r="V39" s="1498"/>
      <c r="W39" s="1498"/>
      <c r="X39" s="1498"/>
      <c r="Y39" s="1498"/>
      <c r="Z39" s="1498"/>
      <c r="AA39" s="1815" t="s">
        <v>783</v>
      </c>
      <c r="AB39" s="812">
        <f>Paramètres!AR91</f>
        <v>-10</v>
      </c>
      <c r="AC39" s="812">
        <f>Paramètres!AS91</f>
        <v>20</v>
      </c>
      <c r="AD39" s="813">
        <f>Paramètres!AT91</f>
        <v>80</v>
      </c>
      <c r="AJ39" s="17" t="str">
        <f t="shared" ref="AJ39:AJ60" si="1">BG5</f>
        <v>Triticale</v>
      </c>
      <c r="AK39" s="805">
        <f>Paramètres!AR104</f>
        <v>50</v>
      </c>
      <c r="AL39" s="805">
        <f>Paramètres!AS104</f>
        <v>60</v>
      </c>
      <c r="AM39" s="805">
        <f>Paramètres!AT104</f>
        <v>60</v>
      </c>
      <c r="AN39" s="805">
        <f>Paramètres!AU104</f>
        <v>80</v>
      </c>
      <c r="AO39" s="805">
        <f>Paramètres!AV104</f>
        <v>100</v>
      </c>
      <c r="AP39" s="805">
        <f>Paramètres!AW104</f>
        <v>90</v>
      </c>
      <c r="AQ39" s="805">
        <f>Paramètres!AX104</f>
        <v>70</v>
      </c>
    </row>
    <row r="40" spans="1:77" ht="12.75" customHeight="1" x14ac:dyDescent="0.2">
      <c r="A40" s="1164"/>
      <c r="B40" s="3264" t="s">
        <v>2403</v>
      </c>
      <c r="C40" s="3265"/>
      <c r="D40" s="3265"/>
      <c r="E40" s="3265"/>
      <c r="F40" s="3265"/>
      <c r="G40" s="3265"/>
      <c r="H40" s="3265"/>
      <c r="I40" s="3265"/>
      <c r="J40" s="3265"/>
      <c r="K40" s="3265"/>
      <c r="L40" s="3266"/>
      <c r="M40" s="1164"/>
      <c r="N40" s="1498"/>
      <c r="O40" s="1498"/>
      <c r="P40" s="1498"/>
      <c r="Q40" s="1498"/>
      <c r="R40" s="1498"/>
      <c r="S40" s="1498"/>
      <c r="T40" s="1498"/>
      <c r="U40" s="1498"/>
      <c r="V40" s="1498"/>
      <c r="W40" s="1498"/>
      <c r="X40" s="1498"/>
      <c r="Y40" s="1498"/>
      <c r="Z40" s="1498"/>
      <c r="AA40" s="1815" t="s">
        <v>784</v>
      </c>
      <c r="AB40" s="812">
        <f>Paramètres!AR92</f>
        <v>20</v>
      </c>
      <c r="AC40" s="812">
        <f>Paramètres!AS92</f>
        <v>30</v>
      </c>
      <c r="AD40" s="813">
        <f>Paramètres!AT92</f>
        <v>40</v>
      </c>
      <c r="AG40" s="17" t="e">
        <f>HLOOKUP(Cu_Sys,AK36:AQ63,28,FALSE)</f>
        <v>#N/A</v>
      </c>
      <c r="AJ40" s="17" t="str">
        <f t="shared" si="1"/>
        <v>Orge, seigle, avoine</v>
      </c>
      <c r="AK40" s="805">
        <f>Paramètres!AR105</f>
        <v>40</v>
      </c>
      <c r="AL40" s="805">
        <f>Paramètres!AS105</f>
        <v>50</v>
      </c>
      <c r="AM40" s="805">
        <f>Paramètres!AT105</f>
        <v>60</v>
      </c>
      <c r="AN40" s="805">
        <f>Paramètres!AU105</f>
        <v>80</v>
      </c>
      <c r="AO40" s="805">
        <f>Paramètres!AV105</f>
        <v>100</v>
      </c>
      <c r="AP40" s="805">
        <f>Paramètres!AW105</f>
        <v>90</v>
      </c>
      <c r="AQ40" s="805">
        <f>Paramètres!AX105</f>
        <v>70</v>
      </c>
    </row>
    <row r="41" spans="1:77" ht="24.95" customHeight="1" x14ac:dyDescent="0.2">
      <c r="A41" s="1164"/>
      <c r="B41" s="3264"/>
      <c r="C41" s="3265"/>
      <c r="D41" s="3265"/>
      <c r="E41" s="3265"/>
      <c r="F41" s="3265"/>
      <c r="G41" s="3265"/>
      <c r="H41" s="3265"/>
      <c r="I41" s="3265"/>
      <c r="J41" s="3265"/>
      <c r="K41" s="3265"/>
      <c r="L41" s="3266"/>
      <c r="M41" s="1164"/>
      <c r="N41" s="1498"/>
      <c r="O41" s="1498"/>
      <c r="P41" s="1498"/>
      <c r="Q41" s="1498"/>
      <c r="R41" s="1498"/>
      <c r="S41" s="1498"/>
      <c r="T41" s="1498"/>
      <c r="U41" s="1498"/>
      <c r="V41" s="1498"/>
      <c r="W41" s="1498"/>
      <c r="X41" s="1498"/>
      <c r="Y41" s="1498"/>
      <c r="Z41" s="1498"/>
      <c r="AA41" s="1815" t="s">
        <v>785</v>
      </c>
      <c r="AB41" s="812">
        <f>Paramètres!AR93</f>
        <v>30</v>
      </c>
      <c r="AC41" s="812">
        <f>Paramètres!AS93</f>
        <v>20</v>
      </c>
      <c r="AD41" s="813">
        <f>Paramètres!AT93</f>
        <v>70</v>
      </c>
      <c r="AF41" s="2923"/>
      <c r="AG41" s="627" t="e">
        <f>VLOOKUP(D8,AJ37:AQ62,AG40,FALSE)</f>
        <v>#N/A</v>
      </c>
      <c r="AJ41" s="17" t="str">
        <f t="shared" si="1"/>
        <v>Maïs grain</v>
      </c>
      <c r="AK41" s="805">
        <f>Paramètres!AR106</f>
        <v>70</v>
      </c>
      <c r="AL41" s="805">
        <f>Paramètres!AS106</f>
        <v>80</v>
      </c>
      <c r="AM41" s="805">
        <f>Paramètres!AT106</f>
        <v>60</v>
      </c>
      <c r="AN41" s="805">
        <f>Paramètres!AU106</f>
        <v>80</v>
      </c>
      <c r="AO41" s="805">
        <f>Paramètres!AV106</f>
        <v>100</v>
      </c>
      <c r="AP41" s="805">
        <f>Paramètres!AW106</f>
        <v>90</v>
      </c>
      <c r="AQ41" s="805">
        <f>Paramètres!AX106</f>
        <v>70</v>
      </c>
    </row>
    <row r="42" spans="1:77" ht="30" customHeight="1" x14ac:dyDescent="0.2">
      <c r="A42" s="1164"/>
      <c r="B42" s="2924" t="s">
        <v>2392</v>
      </c>
      <c r="C42" s="10"/>
      <c r="D42" s="10"/>
      <c r="E42" s="10"/>
      <c r="F42" s="10"/>
      <c r="G42" s="10"/>
      <c r="H42" s="10"/>
      <c r="I42" s="10"/>
      <c r="J42" s="13"/>
      <c r="K42" s="13"/>
      <c r="L42" s="2922"/>
      <c r="M42" s="1164"/>
      <c r="N42" s="1498"/>
      <c r="O42" s="1498"/>
      <c r="P42" s="1498"/>
      <c r="Q42" s="1498"/>
      <c r="R42" s="1498"/>
      <c r="S42" s="1498"/>
      <c r="T42" s="1498"/>
      <c r="U42" s="1498"/>
      <c r="V42" s="1498"/>
      <c r="W42" s="1498"/>
      <c r="X42" s="1498"/>
      <c r="Y42" s="1498"/>
      <c r="Z42" s="1498"/>
      <c r="AA42" s="1815" t="s">
        <v>786</v>
      </c>
      <c r="AB42" s="812">
        <f>Paramètres!AR94</f>
        <v>25</v>
      </c>
      <c r="AC42" s="812">
        <f>Paramètres!AS94</f>
        <v>10</v>
      </c>
      <c r="AD42" s="813">
        <f>Paramètres!AT94</f>
        <v>50</v>
      </c>
      <c r="AJ42" s="17" t="str">
        <f t="shared" si="1"/>
        <v>Maïs ensilage</v>
      </c>
      <c r="AK42" s="805">
        <f>Paramètres!AR107</f>
        <v>70</v>
      </c>
      <c r="AL42" s="805">
        <f>Paramètres!AS107</f>
        <v>80</v>
      </c>
      <c r="AM42" s="805">
        <f>Paramètres!AT107</f>
        <v>60</v>
      </c>
      <c r="AN42" s="805">
        <f>Paramètres!AU107</f>
        <v>80</v>
      </c>
      <c r="AO42" s="805">
        <f>Paramètres!AV107</f>
        <v>100</v>
      </c>
      <c r="AP42" s="805">
        <f>Paramètres!AW107</f>
        <v>90</v>
      </c>
      <c r="AQ42" s="805">
        <f>Paramètres!AX107</f>
        <v>70</v>
      </c>
    </row>
    <row r="43" spans="1:77" x14ac:dyDescent="0.2">
      <c r="A43" s="1164"/>
      <c r="B43" s="694" t="s">
        <v>892</v>
      </c>
      <c r="C43" s="622"/>
      <c r="D43" s="617"/>
      <c r="E43" s="622"/>
      <c r="F43" s="622" t="s">
        <v>2390</v>
      </c>
      <c r="G43" s="622"/>
      <c r="H43" s="622"/>
      <c r="I43" s="622"/>
      <c r="J43" s="1463"/>
      <c r="K43" s="1463"/>
      <c r="L43" s="1875"/>
      <c r="M43" s="1164"/>
      <c r="N43" s="1498"/>
      <c r="O43" s="1498"/>
      <c r="P43" s="1498"/>
      <c r="Q43" s="1498"/>
      <c r="R43" s="1498"/>
      <c r="S43" s="1498"/>
      <c r="T43" s="1498"/>
      <c r="U43" s="1498"/>
      <c r="V43" s="1498"/>
      <c r="W43" s="1498"/>
      <c r="X43" s="1498"/>
      <c r="Y43" s="1498"/>
      <c r="Z43" s="1498"/>
      <c r="AA43" s="1815" t="s">
        <v>787</v>
      </c>
      <c r="AB43" s="812">
        <f>Paramètres!AR95</f>
        <v>20</v>
      </c>
      <c r="AC43" s="812">
        <f>Paramètres!AS95</f>
        <v>20</v>
      </c>
      <c r="AD43" s="813">
        <f>Paramètres!AT95</f>
        <v>50</v>
      </c>
      <c r="AG43" s="1337" t="s">
        <v>895</v>
      </c>
      <c r="AJ43" s="17" t="str">
        <f t="shared" si="1"/>
        <v>Colza</v>
      </c>
      <c r="AK43" s="805">
        <f>Paramètres!AR108</f>
        <v>40</v>
      </c>
      <c r="AL43" s="805">
        <f>Paramètres!AS108</f>
        <v>50</v>
      </c>
      <c r="AM43" s="805">
        <f>Paramètres!AT108</f>
        <v>60</v>
      </c>
      <c r="AN43" s="805">
        <f>Paramètres!AU108</f>
        <v>80</v>
      </c>
      <c r="AO43" s="805">
        <f>Paramètres!AV108</f>
        <v>100</v>
      </c>
      <c r="AP43" s="805">
        <f>Paramètres!AW108</f>
        <v>90</v>
      </c>
      <c r="AQ43" s="805">
        <f>Paramètres!AX108</f>
        <v>70</v>
      </c>
    </row>
    <row r="44" spans="1:77" x14ac:dyDescent="0.2">
      <c r="A44" s="1164"/>
      <c r="B44" s="2927" t="s">
        <v>2402</v>
      </c>
      <c r="C44" s="622"/>
      <c r="D44" s="617"/>
      <c r="E44" s="622"/>
      <c r="F44" s="622" t="s">
        <v>2391</v>
      </c>
      <c r="G44" s="622"/>
      <c r="H44" s="617"/>
      <c r="I44" s="622"/>
      <c r="J44" s="1463"/>
      <c r="K44" s="1463"/>
      <c r="L44" s="1875"/>
      <c r="M44" s="1164"/>
      <c r="N44" s="1498"/>
      <c r="O44" s="1498"/>
      <c r="P44" s="1498"/>
      <c r="Q44" s="1498"/>
      <c r="R44" s="1498"/>
      <c r="S44" s="1498"/>
      <c r="T44" s="1498"/>
      <c r="U44" s="1498"/>
      <c r="V44" s="1498"/>
      <c r="W44" s="1498"/>
      <c r="X44" s="1498"/>
      <c r="Y44" s="1498"/>
      <c r="Z44" s="1498"/>
      <c r="AA44" s="1815" t="s">
        <v>789</v>
      </c>
      <c r="AB44" s="812">
        <f>Paramètres!AR96</f>
        <v>35</v>
      </c>
      <c r="AC44" s="812">
        <f>Paramètres!AS96</f>
        <v>10</v>
      </c>
      <c r="AD44" s="813">
        <f>Paramètres!AT96</f>
        <v>30</v>
      </c>
      <c r="AG44" s="1337" t="s">
        <v>247</v>
      </c>
      <c r="AJ44" s="17" t="str">
        <f t="shared" si="1"/>
        <v>Tournesol</v>
      </c>
      <c r="AK44" s="805">
        <f>Paramètres!AR109</f>
        <v>55</v>
      </c>
      <c r="AL44" s="805">
        <f>Paramètres!AS109</f>
        <v>70</v>
      </c>
      <c r="AM44" s="805">
        <f>Paramètres!AT109</f>
        <v>60</v>
      </c>
      <c r="AN44" s="805">
        <f>Paramètres!AU109</f>
        <v>80</v>
      </c>
      <c r="AO44" s="805">
        <f>Paramètres!AV109</f>
        <v>100</v>
      </c>
      <c r="AP44" s="805">
        <f>Paramètres!AW109</f>
        <v>90</v>
      </c>
      <c r="AQ44" s="805">
        <f>Paramètres!AX109</f>
        <v>70</v>
      </c>
    </row>
    <row r="45" spans="1:77" x14ac:dyDescent="0.2">
      <c r="A45" s="1164"/>
      <c r="B45" s="694"/>
      <c r="C45" s="622"/>
      <c r="D45" s="714" t="s">
        <v>893</v>
      </c>
      <c r="E45" s="617"/>
      <c r="F45" s="622"/>
      <c r="G45" s="622"/>
      <c r="H45" s="622"/>
      <c r="I45" s="622"/>
      <c r="J45" s="1463"/>
      <c r="K45" s="1463"/>
      <c r="L45" s="1875"/>
      <c r="M45" s="1164"/>
      <c r="N45" s="1498"/>
      <c r="O45" s="1498"/>
      <c r="P45" s="1498"/>
      <c r="Q45" s="1498"/>
      <c r="R45" s="1498"/>
      <c r="S45" s="1498"/>
      <c r="T45" s="1498"/>
      <c r="U45" s="1498"/>
      <c r="V45" s="1498"/>
      <c r="W45" s="1498"/>
      <c r="X45" s="1498"/>
      <c r="Y45" s="1498"/>
      <c r="Z45" s="1498"/>
      <c r="AA45" s="1815" t="s">
        <v>788</v>
      </c>
      <c r="AB45" s="812">
        <f>Paramètres!AR97</f>
        <v>50</v>
      </c>
      <c r="AC45" s="812">
        <f>Paramètres!AS97</f>
        <v>15</v>
      </c>
      <c r="AD45" s="813">
        <f>Paramètres!AT97</f>
        <v>35</v>
      </c>
      <c r="AG45" s="703">
        <f>IF(AND(E45="Oui",E46="Oui"),AG46,AH46)</f>
        <v>0</v>
      </c>
      <c r="AJ45" s="17" t="str">
        <f t="shared" si="1"/>
        <v>Sorgho grain et ensilage</v>
      </c>
      <c r="AK45" s="805">
        <f>Paramètres!AR110</f>
        <v>70</v>
      </c>
      <c r="AL45" s="805">
        <f>Paramètres!AS110</f>
        <v>80</v>
      </c>
      <c r="AM45" s="805">
        <f>Paramètres!AT110</f>
        <v>60</v>
      </c>
      <c r="AN45" s="805">
        <f>Paramètres!AU110</f>
        <v>80</v>
      </c>
      <c r="AO45" s="805">
        <f>Paramètres!AV110</f>
        <v>100</v>
      </c>
      <c r="AP45" s="805">
        <f>Paramètres!AW110</f>
        <v>90</v>
      </c>
      <c r="AQ45" s="805">
        <f>Paramètres!AX110</f>
        <v>70</v>
      </c>
    </row>
    <row r="46" spans="1:77" x14ac:dyDescent="0.2">
      <c r="A46" s="1164"/>
      <c r="B46" s="694"/>
      <c r="C46" s="622"/>
      <c r="D46" s="699" t="s">
        <v>894</v>
      </c>
      <c r="E46" s="617"/>
      <c r="F46" s="622"/>
      <c r="G46" s="622"/>
      <c r="H46" s="622"/>
      <c r="I46" s="622"/>
      <c r="J46" s="1856">
        <f>IF(Cu_Choix=1,AG41+AG45+AG35,IF(Cu_Choix=2,Cu_GREN,0))</f>
        <v>0</v>
      </c>
      <c r="K46" s="1463"/>
      <c r="L46" s="1875"/>
      <c r="M46" s="1164"/>
      <c r="N46" s="1498"/>
      <c r="O46" s="1498"/>
      <c r="P46" s="1498"/>
      <c r="Q46" s="1498"/>
      <c r="R46" s="1498"/>
      <c r="S46" s="1498"/>
      <c r="T46" s="1498"/>
      <c r="U46" s="1498"/>
      <c r="V46" s="1498"/>
      <c r="W46" s="1498"/>
      <c r="X46" s="1498"/>
      <c r="Y46" s="1498"/>
      <c r="Z46" s="1498"/>
      <c r="AA46" s="1817" t="s">
        <v>854</v>
      </c>
      <c r="AB46" s="815">
        <f>Paramètres!AR98</f>
        <v>25</v>
      </c>
      <c r="AC46" s="815">
        <f>Paramètres!AS98</f>
        <v>0</v>
      </c>
      <c r="AD46" s="816">
        <f>Paramètres!AT98</f>
        <v>0</v>
      </c>
      <c r="AG46" s="805">
        <f>Paramètres!AR132</f>
        <v>10</v>
      </c>
      <c r="AH46" s="805">
        <f>Paramètres!AT132</f>
        <v>0</v>
      </c>
      <c r="AJ46" s="17" t="str">
        <f t="shared" si="1"/>
        <v>Soja</v>
      </c>
      <c r="AK46" s="805">
        <f>Paramètres!AR111</f>
        <v>60</v>
      </c>
      <c r="AL46" s="805">
        <f>Paramètres!AS111</f>
        <v>60</v>
      </c>
      <c r="AM46" s="805">
        <f>Paramètres!AT111</f>
        <v>60</v>
      </c>
      <c r="AN46" s="805">
        <f>Paramètres!AU111</f>
        <v>80</v>
      </c>
      <c r="AO46" s="805">
        <f>Paramètres!AV111</f>
        <v>100</v>
      </c>
      <c r="AP46" s="805">
        <f>Paramètres!AW111</f>
        <v>90</v>
      </c>
      <c r="AQ46" s="805">
        <f>Paramètres!AX111</f>
        <v>70</v>
      </c>
    </row>
    <row r="47" spans="1:77" ht="5.0999999999999996" customHeight="1" x14ac:dyDescent="0.2">
      <c r="A47" s="1164"/>
      <c r="B47" s="694"/>
      <c r="C47" s="622"/>
      <c r="D47" s="622"/>
      <c r="E47" s="622"/>
      <c r="F47" s="622"/>
      <c r="G47" s="622"/>
      <c r="H47" s="622"/>
      <c r="I47" s="622"/>
      <c r="J47" s="1463"/>
      <c r="K47" s="1463"/>
      <c r="L47" s="1875"/>
      <c r="M47" s="1164"/>
      <c r="N47" s="1498"/>
      <c r="O47" s="1498"/>
      <c r="P47" s="1498"/>
      <c r="Q47" s="1498"/>
      <c r="R47" s="1498"/>
      <c r="S47" s="1498"/>
      <c r="T47" s="1498"/>
      <c r="U47" s="1498"/>
      <c r="V47" s="1498"/>
      <c r="W47" s="1498"/>
      <c r="X47" s="1498"/>
      <c r="Y47" s="1498"/>
      <c r="Z47" s="1498"/>
      <c r="AJ47" s="17" t="str">
        <f t="shared" si="1"/>
        <v>Lupin</v>
      </c>
      <c r="AK47" s="805">
        <f>Paramètres!AR112</f>
        <v>60</v>
      </c>
      <c r="AL47" s="805">
        <f>Paramètres!AS112</f>
        <v>60</v>
      </c>
      <c r="AM47" s="805">
        <f>Paramètres!AT112</f>
        <v>60</v>
      </c>
      <c r="AN47" s="805">
        <f>Paramètres!AU112</f>
        <v>80</v>
      </c>
      <c r="AO47" s="805">
        <f>Paramètres!AV112</f>
        <v>100</v>
      </c>
      <c r="AP47" s="805">
        <f>Paramètres!AW112</f>
        <v>90</v>
      </c>
      <c r="AQ47" s="805">
        <f>Paramètres!AX112</f>
        <v>70</v>
      </c>
    </row>
    <row r="48" spans="1:77" ht="12.75" customHeight="1" x14ac:dyDescent="0.2">
      <c r="A48" s="1164"/>
      <c r="B48" s="3214" t="s">
        <v>995</v>
      </c>
      <c r="C48" s="3215"/>
      <c r="D48" s="3215"/>
      <c r="E48" s="3215"/>
      <c r="F48" s="3215"/>
      <c r="G48" s="3215"/>
      <c r="H48" s="1349"/>
      <c r="I48" s="1349"/>
      <c r="J48" s="1463"/>
      <c r="K48" s="1463"/>
      <c r="L48" s="1875"/>
      <c r="M48" s="1164"/>
      <c r="N48" s="1498"/>
      <c r="O48" s="1498"/>
      <c r="P48" s="1498"/>
      <c r="Q48" s="1498"/>
      <c r="R48" s="1498"/>
      <c r="S48" s="1498"/>
      <c r="T48" s="1498"/>
      <c r="U48" s="1498"/>
      <c r="V48" s="1498"/>
      <c r="W48" s="1498"/>
      <c r="X48" s="1498"/>
      <c r="Y48" s="1498"/>
      <c r="Z48" s="1498"/>
      <c r="AJ48" s="17" t="str">
        <f t="shared" si="1"/>
        <v>Pois, féverole, haricot</v>
      </c>
      <c r="AK48" s="805">
        <f>Paramètres!AR113</f>
        <v>60</v>
      </c>
      <c r="AL48" s="805">
        <f>Paramètres!AS113</f>
        <v>60</v>
      </c>
      <c r="AM48" s="805">
        <f>Paramètres!AT113</f>
        <v>60</v>
      </c>
      <c r="AN48" s="805">
        <f>Paramètres!AU113</f>
        <v>80</v>
      </c>
      <c r="AO48" s="805">
        <f>Paramètres!AV113</f>
        <v>100</v>
      </c>
      <c r="AP48" s="805">
        <f>Paramètres!AW113</f>
        <v>90</v>
      </c>
      <c r="AQ48" s="805">
        <f>Paramètres!AX113</f>
        <v>70</v>
      </c>
    </row>
    <row r="49" spans="1:43" ht="12.75" customHeight="1" x14ac:dyDescent="0.2">
      <c r="A49" s="1164"/>
      <c r="B49" s="1350"/>
      <c r="C49" s="1349"/>
      <c r="D49" s="2920" t="s">
        <v>2379</v>
      </c>
      <c r="E49" s="617"/>
      <c r="F49" s="2917" t="s">
        <v>2438</v>
      </c>
      <c r="G49" s="2917"/>
      <c r="H49" s="1349"/>
      <c r="I49" s="1349"/>
      <c r="J49" s="1856">
        <f>Cu_Atmosph</f>
        <v>0</v>
      </c>
      <c r="K49" s="1463"/>
      <c r="L49" s="1875"/>
      <c r="M49" s="1164"/>
      <c r="N49" s="1498"/>
      <c r="O49" s="1498"/>
      <c r="P49" s="1498"/>
      <c r="Q49" s="1498"/>
      <c r="R49" s="1498"/>
      <c r="S49" s="1498"/>
      <c r="T49" s="1498"/>
      <c r="U49" s="1498"/>
      <c r="V49" s="1498"/>
      <c r="W49" s="1498"/>
      <c r="X49" s="1498"/>
      <c r="Y49" s="1498"/>
      <c r="Z49" s="1498"/>
      <c r="AJ49" s="17" t="str">
        <f t="shared" si="1"/>
        <v>Luzerne</v>
      </c>
      <c r="AK49" s="805">
        <f>Paramètres!AR114</f>
        <v>80</v>
      </c>
      <c r="AL49" s="805">
        <f>Paramètres!AS114</f>
        <v>80</v>
      </c>
      <c r="AM49" s="805">
        <f>Paramètres!AT114</f>
        <v>60</v>
      </c>
      <c r="AN49" s="805">
        <f>Paramètres!AU114</f>
        <v>80</v>
      </c>
      <c r="AO49" s="805">
        <f>Paramètres!AV114</f>
        <v>100</v>
      </c>
      <c r="AP49" s="805">
        <f>Paramètres!AW114</f>
        <v>90</v>
      </c>
      <c r="AQ49" s="805">
        <f>Paramètres!AX114</f>
        <v>70</v>
      </c>
    </row>
    <row r="50" spans="1:43" ht="5.0999999999999996" customHeight="1" x14ac:dyDescent="0.2">
      <c r="A50" s="1164"/>
      <c r="B50" s="1350"/>
      <c r="C50" s="1349"/>
      <c r="D50" s="1349"/>
      <c r="E50" s="1349"/>
      <c r="F50" s="1349"/>
      <c r="G50" s="1349"/>
      <c r="H50" s="1349"/>
      <c r="I50" s="1349"/>
      <c r="J50" s="1463"/>
      <c r="K50" s="1463"/>
      <c r="L50" s="1875"/>
      <c r="M50" s="1164"/>
      <c r="N50" s="1498"/>
      <c r="O50" s="1498"/>
      <c r="P50" s="1498"/>
      <c r="Q50" s="1498"/>
      <c r="R50" s="1498"/>
      <c r="S50" s="1498"/>
      <c r="T50" s="1498"/>
      <c r="U50" s="1498"/>
      <c r="V50" s="1498"/>
      <c r="W50" s="1498"/>
      <c r="X50" s="1498"/>
      <c r="Y50" s="1498"/>
      <c r="Z50" s="1498"/>
      <c r="AJ50" s="17" t="str">
        <f t="shared" si="1"/>
        <v>Trèfle violet</v>
      </c>
      <c r="AK50" s="805">
        <f>Paramètres!AR115</f>
        <v>60</v>
      </c>
      <c r="AL50" s="805">
        <f>Paramètres!AS115</f>
        <v>60</v>
      </c>
      <c r="AM50" s="805">
        <f>Paramètres!AT115</f>
        <v>60</v>
      </c>
      <c r="AN50" s="805">
        <f>Paramètres!AU115</f>
        <v>80</v>
      </c>
      <c r="AO50" s="805">
        <f>Paramètres!AV115</f>
        <v>100</v>
      </c>
      <c r="AP50" s="805">
        <f>Paramètres!AW115</f>
        <v>90</v>
      </c>
      <c r="AQ50" s="805">
        <f>Paramètres!AX115</f>
        <v>70</v>
      </c>
    </row>
    <row r="51" spans="1:43" ht="18" x14ac:dyDescent="0.25">
      <c r="A51" s="1164"/>
      <c r="B51" s="3287" t="s">
        <v>797</v>
      </c>
      <c r="C51" s="3288"/>
      <c r="D51" s="3288"/>
      <c r="E51" s="3288"/>
      <c r="F51" s="3288"/>
      <c r="G51" s="3288"/>
      <c r="H51" s="622"/>
      <c r="I51" s="622"/>
      <c r="J51" s="1895" t="s">
        <v>625</v>
      </c>
      <c r="K51" s="1895" t="s">
        <v>187</v>
      </c>
      <c r="L51" s="1896" t="s">
        <v>665</v>
      </c>
      <c r="M51" s="1164"/>
      <c r="N51" s="1498"/>
      <c r="O51" s="1498"/>
      <c r="P51" s="1498"/>
      <c r="Q51" s="1498"/>
      <c r="R51" s="1498"/>
      <c r="S51" s="1498"/>
      <c r="T51" s="1498"/>
      <c r="U51" s="1498"/>
      <c r="V51" s="1498"/>
      <c r="W51" s="1498"/>
      <c r="X51" s="1498"/>
      <c r="Y51" s="1498"/>
      <c r="Z51" s="1498"/>
      <c r="AJ51" s="17" t="str">
        <f t="shared" si="1"/>
        <v>Betteraves sucrières</v>
      </c>
      <c r="AK51" s="805">
        <f>Paramètres!AR116</f>
        <v>70</v>
      </c>
      <c r="AL51" s="805">
        <f>Paramètres!AS116</f>
        <v>80</v>
      </c>
      <c r="AM51" s="805">
        <f>Paramètres!AT116</f>
        <v>60</v>
      </c>
      <c r="AN51" s="805">
        <f>Paramètres!AU116</f>
        <v>80</v>
      </c>
      <c r="AO51" s="805">
        <f>Paramètres!AV116</f>
        <v>100</v>
      </c>
      <c r="AP51" s="805">
        <f>Paramètres!AW116</f>
        <v>90</v>
      </c>
      <c r="AQ51" s="805">
        <f>Paramètres!AX116</f>
        <v>70</v>
      </c>
    </row>
    <row r="52" spans="1:43" ht="20.25" x14ac:dyDescent="0.3">
      <c r="A52" s="1164"/>
      <c r="B52" s="3285" t="s">
        <v>1010</v>
      </c>
      <c r="C52" s="3286"/>
      <c r="D52" s="3286"/>
      <c r="E52" s="3286"/>
      <c r="F52" s="3286"/>
      <c r="G52" s="3286"/>
      <c r="H52" s="3286"/>
      <c r="I52" s="622"/>
      <c r="J52" s="1897" t="e">
        <f>J17+J25+J33+J37+J46+J49</f>
        <v>#N/A</v>
      </c>
      <c r="K52" s="1898" t="e">
        <f>K37</f>
        <v>#N/A</v>
      </c>
      <c r="L52" s="1899" t="e">
        <f>L37</f>
        <v>#N/A</v>
      </c>
      <c r="M52" s="1164"/>
      <c r="N52" s="1498"/>
      <c r="O52" s="1498"/>
      <c r="P52" s="1498"/>
      <c r="Q52" s="1498"/>
      <c r="R52" s="1498"/>
      <c r="S52" s="1498"/>
      <c r="T52" s="1498"/>
      <c r="U52" s="1498"/>
      <c r="V52" s="1498"/>
      <c r="W52" s="1498"/>
      <c r="X52" s="1498"/>
      <c r="Y52" s="1498"/>
      <c r="Z52" s="1498"/>
      <c r="AJ52" s="17" t="str">
        <f t="shared" si="1"/>
        <v>Betteraves fourragères</v>
      </c>
      <c r="AK52" s="805">
        <f>Paramètres!AR117</f>
        <v>70</v>
      </c>
      <c r="AL52" s="805">
        <f>Paramètres!AS117</f>
        <v>80</v>
      </c>
      <c r="AM52" s="805">
        <f>Paramètres!AT117</f>
        <v>60</v>
      </c>
      <c r="AN52" s="805">
        <f>Paramètres!AU117</f>
        <v>80</v>
      </c>
      <c r="AO52" s="805">
        <f>Paramètres!AV117</f>
        <v>100</v>
      </c>
      <c r="AP52" s="805">
        <f>Paramètres!AW117</f>
        <v>90</v>
      </c>
      <c r="AQ52" s="805">
        <f>Paramètres!AX117</f>
        <v>70</v>
      </c>
    </row>
    <row r="53" spans="1:43" ht="5.0999999999999996" customHeight="1" x14ac:dyDescent="0.2">
      <c r="A53" s="1164"/>
      <c r="B53" s="694"/>
      <c r="C53" s="622"/>
      <c r="D53" s="622"/>
      <c r="E53" s="622"/>
      <c r="F53" s="622"/>
      <c r="G53" s="622"/>
      <c r="H53" s="622"/>
      <c r="I53" s="622"/>
      <c r="J53" s="1463"/>
      <c r="K53" s="1463"/>
      <c r="L53" s="1875"/>
      <c r="M53" s="1164"/>
      <c r="N53" s="1498"/>
      <c r="O53" s="1498"/>
      <c r="P53" s="1498"/>
      <c r="Q53" s="1498"/>
      <c r="R53" s="1498"/>
      <c r="S53" s="1498"/>
      <c r="T53" s="1498"/>
      <c r="U53" s="1498"/>
      <c r="V53" s="1498"/>
      <c r="W53" s="1498"/>
      <c r="X53" s="1498"/>
      <c r="Y53" s="1498"/>
      <c r="Z53" s="1498"/>
      <c r="AJ53" s="17" t="str">
        <f t="shared" si="1"/>
        <v>Crucifères fourragères</v>
      </c>
      <c r="AK53" s="805">
        <f>Paramètres!AR118</f>
        <v>20</v>
      </c>
      <c r="AL53" s="805">
        <f>Paramètres!AS118</f>
        <v>25</v>
      </c>
      <c r="AM53" s="805">
        <f>Paramètres!AT118</f>
        <v>60</v>
      </c>
      <c r="AN53" s="805">
        <f>Paramètres!AU118</f>
        <v>80</v>
      </c>
      <c r="AO53" s="805">
        <f>Paramètres!AV118</f>
        <v>100</v>
      </c>
      <c r="AP53" s="805">
        <f>Paramètres!AW118</f>
        <v>90</v>
      </c>
      <c r="AQ53" s="805">
        <f>Paramètres!AX118</f>
        <v>70</v>
      </c>
    </row>
    <row r="54" spans="1:43" x14ac:dyDescent="0.2">
      <c r="A54" s="1164"/>
      <c r="B54" s="3214" t="s">
        <v>593</v>
      </c>
      <c r="C54" s="3215"/>
      <c r="D54" s="3215"/>
      <c r="E54" s="3215"/>
      <c r="F54" s="3215"/>
      <c r="G54" s="3215"/>
      <c r="H54" s="622"/>
      <c r="I54" s="622"/>
      <c r="J54" s="1851" t="s">
        <v>625</v>
      </c>
      <c r="K54" s="1463"/>
      <c r="L54" s="1875"/>
      <c r="M54" s="1164"/>
      <c r="N54" s="1498"/>
      <c r="O54" s="1498"/>
      <c r="P54" s="1498"/>
      <c r="Q54" s="1498"/>
      <c r="R54" s="1498"/>
      <c r="S54" s="1498"/>
      <c r="T54" s="1498"/>
      <c r="U54" s="1498"/>
      <c r="V54" s="1498"/>
      <c r="W54" s="1498"/>
      <c r="X54" s="1498"/>
      <c r="Y54" s="1498"/>
      <c r="Z54" s="1498"/>
      <c r="AJ54" s="17" t="str">
        <f t="shared" si="1"/>
        <v>Lin graine</v>
      </c>
      <c r="AK54" s="805">
        <f>Paramètres!AR119</f>
        <v>50</v>
      </c>
      <c r="AL54" s="805">
        <f>Paramètres!AS119</f>
        <v>70</v>
      </c>
      <c r="AM54" s="805">
        <f>Paramètres!AT119</f>
        <v>60</v>
      </c>
      <c r="AN54" s="805">
        <f>Paramètres!AU119</f>
        <v>80</v>
      </c>
      <c r="AO54" s="805">
        <f>Paramètres!AV119</f>
        <v>100</v>
      </c>
      <c r="AP54" s="805">
        <f>Paramètres!AW119</f>
        <v>90</v>
      </c>
      <c r="AQ54" s="805">
        <f>Paramètres!AX119</f>
        <v>70</v>
      </c>
    </row>
    <row r="55" spans="1:43" x14ac:dyDescent="0.2">
      <c r="A55" s="1164"/>
      <c r="B55" s="694"/>
      <c r="C55" s="622"/>
      <c r="D55" s="3270" t="e">
        <f>IF(Cu_Temp=AA29,"Fertilisation N interdite derrière une prairie juste retournée",IF(J55&gt;0,"Solde à couvrir par un effluent organique et/ou une fertilisation minérale",IF(J55&lt;0,"Excédent",IF(J55=0,"...","..."))))</f>
        <v>#N/A</v>
      </c>
      <c r="E55" s="3270"/>
      <c r="F55" s="3270"/>
      <c r="G55" s="3270"/>
      <c r="H55" s="3270"/>
      <c r="I55" s="3270"/>
      <c r="J55" s="1856" t="e">
        <f>J8-J52</f>
        <v>#N/A</v>
      </c>
      <c r="K55" s="1463"/>
      <c r="L55" s="1875"/>
      <c r="M55" s="1164"/>
      <c r="N55" s="1498"/>
      <c r="O55" s="1498"/>
      <c r="P55" s="1498"/>
      <c r="Q55" s="1498"/>
      <c r="R55" s="1498"/>
      <c r="S55" s="1498"/>
      <c r="T55" s="1498"/>
      <c r="U55" s="1498"/>
      <c r="V55" s="1498"/>
      <c r="W55" s="1498"/>
      <c r="X55" s="1498"/>
      <c r="Y55" s="1498"/>
      <c r="Z55" s="1498"/>
      <c r="AJ55" s="17" t="str">
        <f t="shared" si="1"/>
        <v>Lin fibre</v>
      </c>
      <c r="AK55" s="805">
        <f>Paramètres!AR120</f>
        <v>50</v>
      </c>
      <c r="AL55" s="805">
        <f>Paramètres!AS120</f>
        <v>70</v>
      </c>
      <c r="AM55" s="805">
        <f>Paramètres!AT120</f>
        <v>60</v>
      </c>
      <c r="AN55" s="805">
        <f>Paramètres!AU120</f>
        <v>80</v>
      </c>
      <c r="AO55" s="805">
        <f>Paramètres!AV120</f>
        <v>100</v>
      </c>
      <c r="AP55" s="805">
        <f>Paramètres!AW120</f>
        <v>90</v>
      </c>
      <c r="AQ55" s="805">
        <f>Paramètres!AX120</f>
        <v>70</v>
      </c>
    </row>
    <row r="56" spans="1:43" x14ac:dyDescent="0.2">
      <c r="A56" s="1164"/>
      <c r="B56" s="694"/>
      <c r="C56" s="622"/>
      <c r="D56" s="622"/>
      <c r="E56" s="622"/>
      <c r="F56" s="622"/>
      <c r="G56" s="622"/>
      <c r="H56" s="622"/>
      <c r="I56" s="622"/>
      <c r="J56" s="1463"/>
      <c r="K56" s="1851" t="s">
        <v>187</v>
      </c>
      <c r="L56" s="1875"/>
      <c r="M56" s="1164"/>
      <c r="N56" s="1498"/>
      <c r="O56" s="1498"/>
      <c r="P56" s="1498"/>
      <c r="Q56" s="1498"/>
      <c r="R56" s="1498"/>
      <c r="S56" s="1498"/>
      <c r="T56" s="1498"/>
      <c r="U56" s="1498"/>
      <c r="V56" s="1498"/>
      <c r="W56" s="1498"/>
      <c r="X56" s="1498"/>
      <c r="Y56" s="1498"/>
      <c r="Z56" s="1498"/>
      <c r="AJ56" s="17" t="str">
        <f t="shared" si="1"/>
        <v>Chanvre</v>
      </c>
      <c r="AK56" s="805">
        <f>Paramètres!AR121</f>
        <v>65</v>
      </c>
      <c r="AL56" s="805">
        <f>Paramètres!AS121</f>
        <v>75</v>
      </c>
      <c r="AM56" s="805">
        <f>Paramètres!AT121</f>
        <v>60</v>
      </c>
      <c r="AN56" s="805">
        <f>Paramètres!AU121</f>
        <v>80</v>
      </c>
      <c r="AO56" s="805">
        <f>Paramètres!AV121</f>
        <v>100</v>
      </c>
      <c r="AP56" s="805">
        <f>Paramètres!AW121</f>
        <v>90</v>
      </c>
      <c r="AQ56" s="805">
        <f>Paramètres!AX121</f>
        <v>70</v>
      </c>
    </row>
    <row r="57" spans="1:43" x14ac:dyDescent="0.2">
      <c r="A57" s="1164"/>
      <c r="B57" s="694"/>
      <c r="C57" s="622"/>
      <c r="D57" s="622"/>
      <c r="E57" s="3270" t="e">
        <f>IF(K57&gt;0,"Solde à couvrir par un effluent organique et/ou une fertilisation minérale",IF(K57&lt;0,"Excédent",IF(K57=0,"...","...")))</f>
        <v>#N/A</v>
      </c>
      <c r="F57" s="3270"/>
      <c r="G57" s="3270"/>
      <c r="H57" s="3270"/>
      <c r="I57" s="3270"/>
      <c r="J57" s="3270"/>
      <c r="K57" s="1856" t="e">
        <f>K8-K52</f>
        <v>#N/A</v>
      </c>
      <c r="L57" s="1178"/>
      <c r="M57" s="1164"/>
      <c r="N57" s="1498"/>
      <c r="O57" s="1498"/>
      <c r="P57" s="1498"/>
      <c r="Q57" s="1498"/>
      <c r="R57" s="1498"/>
      <c r="S57" s="1498"/>
      <c r="T57" s="1498"/>
      <c r="U57" s="1498"/>
      <c r="V57" s="1498"/>
      <c r="W57" s="1498"/>
      <c r="X57" s="1498"/>
      <c r="Y57" s="1498"/>
      <c r="Z57" s="1498"/>
      <c r="AJ57" s="17" t="str">
        <f t="shared" si="1"/>
        <v>Choux fleurs récolte automne</v>
      </c>
      <c r="AK57" s="805">
        <f>Paramètres!AR122</f>
        <v>70</v>
      </c>
      <c r="AL57" s="805">
        <f>Paramètres!AS122</f>
        <v>70</v>
      </c>
      <c r="AM57" s="805">
        <f>Paramètres!AT122</f>
        <v>60</v>
      </c>
      <c r="AN57" s="805">
        <f>Paramètres!AU122</f>
        <v>80</v>
      </c>
      <c r="AO57" s="805">
        <f>Paramètres!AV122</f>
        <v>100</v>
      </c>
      <c r="AP57" s="805">
        <f>Paramètres!AW122</f>
        <v>90</v>
      </c>
      <c r="AQ57" s="805">
        <f>Paramètres!AX122</f>
        <v>70</v>
      </c>
    </row>
    <row r="58" spans="1:43" x14ac:dyDescent="0.2">
      <c r="A58" s="1164"/>
      <c r="B58" s="694"/>
      <c r="C58" s="622"/>
      <c r="D58" s="622"/>
      <c r="E58" s="622"/>
      <c r="F58" s="622"/>
      <c r="G58" s="622"/>
      <c r="H58" s="622"/>
      <c r="I58" s="622"/>
      <c r="J58" s="622"/>
      <c r="K58" s="622"/>
      <c r="L58" s="1852" t="s">
        <v>665</v>
      </c>
      <c r="M58" s="1164"/>
      <c r="N58" s="1498"/>
      <c r="O58" s="1498"/>
      <c r="P58" s="1498"/>
      <c r="Q58" s="1498"/>
      <c r="R58" s="1498"/>
      <c r="S58" s="1498"/>
      <c r="T58" s="1498"/>
      <c r="U58" s="1498"/>
      <c r="V58" s="1498"/>
      <c r="W58" s="1498"/>
      <c r="X58" s="1498"/>
      <c r="Y58" s="1498"/>
      <c r="Z58" s="1498"/>
      <c r="AJ58" s="17" t="str">
        <f t="shared" si="1"/>
        <v>Choux fleurs récolte fin hiver</v>
      </c>
      <c r="AK58" s="805">
        <f>Paramètres!AR123</f>
        <v>70</v>
      </c>
      <c r="AL58" s="805">
        <f>Paramètres!AS123</f>
        <v>70</v>
      </c>
      <c r="AM58" s="805">
        <f>Paramètres!AT123</f>
        <v>60</v>
      </c>
      <c r="AN58" s="805">
        <f>Paramètres!AU123</f>
        <v>80</v>
      </c>
      <c r="AO58" s="805">
        <f>Paramètres!AV123</f>
        <v>100</v>
      </c>
      <c r="AP58" s="805">
        <f>Paramètres!AW123</f>
        <v>90</v>
      </c>
      <c r="AQ58" s="805">
        <f>Paramètres!AX123</f>
        <v>70</v>
      </c>
    </row>
    <row r="59" spans="1:43" x14ac:dyDescent="0.2">
      <c r="A59" s="1164"/>
      <c r="B59" s="694"/>
      <c r="C59" s="622"/>
      <c r="D59" s="622"/>
      <c r="E59" s="622"/>
      <c r="F59" s="3270" t="e">
        <f>IF(L59&gt;0,"Solde à couvrir par un effluent organique et/ou une fertilisation minérale",IF(L59&lt;0,"Excédent",IF(L59=0,"...","...")))</f>
        <v>#N/A</v>
      </c>
      <c r="G59" s="3270"/>
      <c r="H59" s="3270"/>
      <c r="I59" s="3270"/>
      <c r="J59" s="3270"/>
      <c r="K59" s="3270"/>
      <c r="L59" s="1894" t="e">
        <f>L8-L52</f>
        <v>#N/A</v>
      </c>
      <c r="M59" s="1164"/>
      <c r="N59" s="1498"/>
      <c r="O59" s="1498"/>
      <c r="P59" s="1498"/>
      <c r="Q59" s="1498"/>
      <c r="R59" s="1498"/>
      <c r="S59" s="1498"/>
      <c r="T59" s="1498"/>
      <c r="U59" s="1498"/>
      <c r="V59" s="1498"/>
      <c r="W59" s="1498"/>
      <c r="X59" s="1498"/>
      <c r="Y59" s="1498"/>
      <c r="Z59" s="1498"/>
      <c r="AJ59" s="17" t="str">
        <f t="shared" si="1"/>
        <v>Haricot vert conserve</v>
      </c>
      <c r="AK59" s="805">
        <f>Paramètres!AR124</f>
        <v>80</v>
      </c>
      <c r="AL59" s="805">
        <f>Paramètres!AS124</f>
        <v>80</v>
      </c>
      <c r="AM59" s="805">
        <f>Paramètres!AT124</f>
        <v>60</v>
      </c>
      <c r="AN59" s="805">
        <f>Paramètres!AU124</f>
        <v>80</v>
      </c>
      <c r="AO59" s="805">
        <f>Paramètres!AV124</f>
        <v>100</v>
      </c>
      <c r="AP59" s="805">
        <f>Paramètres!AW124</f>
        <v>90</v>
      </c>
      <c r="AQ59" s="805">
        <f>Paramètres!AX124</f>
        <v>70</v>
      </c>
    </row>
    <row r="60" spans="1:43" ht="8.1" customHeight="1" thickBot="1" x14ac:dyDescent="0.25">
      <c r="A60" s="1164"/>
      <c r="B60" s="1179"/>
      <c r="C60" s="1388"/>
      <c r="D60" s="1388"/>
      <c r="E60" s="1388"/>
      <c r="F60" s="1388"/>
      <c r="G60" s="1388"/>
      <c r="H60" s="1388"/>
      <c r="I60" s="1388"/>
      <c r="J60" s="1388"/>
      <c r="K60" s="1388"/>
      <c r="L60" s="1180"/>
      <c r="M60" s="1164"/>
      <c r="N60" s="1498"/>
      <c r="O60" s="1498"/>
      <c r="P60" s="1498"/>
      <c r="Q60" s="1498"/>
      <c r="R60" s="1498"/>
      <c r="S60" s="1498"/>
      <c r="T60" s="1498"/>
      <c r="U60" s="1498"/>
      <c r="V60" s="1498"/>
      <c r="W60" s="1498"/>
      <c r="X60" s="1498"/>
      <c r="Y60" s="1498"/>
      <c r="Z60" s="1498"/>
      <c r="AJ60" s="17" t="str">
        <f t="shared" si="1"/>
        <v>Pois de conserve</v>
      </c>
      <c r="AK60" s="805">
        <f>Paramètres!AR125</f>
        <v>80</v>
      </c>
      <c r="AL60" s="805">
        <f>Paramètres!AS125</f>
        <v>80</v>
      </c>
      <c r="AM60" s="805">
        <f>Paramètres!AT125</f>
        <v>60</v>
      </c>
      <c r="AN60" s="805">
        <f>Paramètres!AU125</f>
        <v>80</v>
      </c>
      <c r="AO60" s="805">
        <f>Paramètres!AV125</f>
        <v>100</v>
      </c>
      <c r="AP60" s="805">
        <f>Paramètres!AW125</f>
        <v>90</v>
      </c>
      <c r="AQ60" s="805">
        <f>Paramètres!AX125</f>
        <v>70</v>
      </c>
    </row>
    <row r="61" spans="1:43" ht="5.0999999999999996" customHeight="1" thickTop="1" x14ac:dyDescent="0.2">
      <c r="A61" s="1387"/>
      <c r="B61" s="1387"/>
      <c r="C61" s="1387"/>
      <c r="D61" s="1387"/>
      <c r="E61" s="1387"/>
      <c r="F61" s="1387"/>
      <c r="G61" s="1387"/>
      <c r="H61" s="1387"/>
      <c r="I61" s="1387"/>
      <c r="J61" s="1387"/>
      <c r="K61" s="1387"/>
      <c r="L61" s="1387"/>
      <c r="M61" s="1387"/>
      <c r="N61" s="1498"/>
      <c r="O61" s="1498"/>
      <c r="P61" s="1498"/>
      <c r="Q61" s="1498"/>
      <c r="R61" s="1498"/>
      <c r="S61" s="1498"/>
      <c r="T61" s="1498"/>
      <c r="U61" s="1498"/>
      <c r="V61" s="1498"/>
      <c r="W61" s="1498"/>
      <c r="X61" s="1498"/>
      <c r="Y61" s="1498"/>
      <c r="Z61" s="1498"/>
      <c r="AJ61" s="17" t="str">
        <f t="shared" ref="AJ61:AJ62" si="2">BG27</f>
        <v>Pomme de terre de plein champ</v>
      </c>
      <c r="AK61" s="805">
        <f>Paramètres!AR126</f>
        <v>65</v>
      </c>
      <c r="AL61" s="805">
        <f>Paramètres!AS126</f>
        <v>75</v>
      </c>
      <c r="AM61" s="805">
        <f>Paramètres!AT126</f>
        <v>60</v>
      </c>
      <c r="AN61" s="805">
        <f>Paramètres!AU126</f>
        <v>80</v>
      </c>
      <c r="AO61" s="805">
        <f>Paramètres!AV126</f>
        <v>100</v>
      </c>
      <c r="AP61" s="805">
        <f>Paramètres!AW126</f>
        <v>90</v>
      </c>
      <c r="AQ61" s="805">
        <f>Paramètres!AX126</f>
        <v>70</v>
      </c>
    </row>
    <row r="62" spans="1:43" ht="12.75" customHeight="1" x14ac:dyDescent="0.2">
      <c r="A62" s="1723"/>
      <c r="B62" s="1741" t="s">
        <v>1544</v>
      </c>
      <c r="C62" s="1742"/>
      <c r="D62" s="1742" t="str">
        <f>IF(Plan_Epandage!$D$6&lt;=170,$AQ$72&amp;$AQ$77,IF(Plan_Epandage!$D$6&gt;170,$AW$72&amp;$AW$77,""))</f>
        <v>Dose prévue Céréales 1: 40 kg/ha</v>
      </c>
      <c r="E62" s="1742" t="str">
        <f>IF(Plan_Epandage!$D$6&lt;=170,$AQ$75&amp;$AQ$80,IF(Plan_Epandage!$D$6&gt;170,$AW$75&amp;$AW$80,""))</f>
        <v>Dose prévue Autre culture 1: 0 kg/ha</v>
      </c>
      <c r="F62" s="1742"/>
      <c r="G62" s="1742"/>
      <c r="H62" s="3280" t="s">
        <v>2404</v>
      </c>
      <c r="I62" s="3280"/>
      <c r="J62" s="3280"/>
      <c r="K62" s="3280"/>
      <c r="L62" s="3280"/>
      <c r="M62" s="3280"/>
      <c r="N62" s="3280"/>
      <c r="O62" s="1498"/>
      <c r="P62" s="1498"/>
      <c r="Q62" s="1498"/>
      <c r="R62" s="1498"/>
      <c r="S62" s="1498"/>
      <c r="T62" s="1498"/>
      <c r="U62" s="1498"/>
      <c r="V62" s="1498"/>
      <c r="W62" s="1498"/>
      <c r="X62" s="1498"/>
      <c r="Y62" s="1498"/>
      <c r="Z62" s="1498"/>
      <c r="AA62" s="1369">
        <f>Ferti_Prairies!AN35</f>
        <v>1</v>
      </c>
      <c r="AB62" s="1369">
        <f>IF($AA$62=1,Plan_Epandage!H102,IF($AA$62=2,Plan_Epandage!H119,""))</f>
        <v>0</v>
      </c>
      <c r="AC62" s="1369" t="s">
        <v>1545</v>
      </c>
      <c r="AE62" s="1369">
        <f>IF($AA$62=1,Plan_Epandage!H104,IF($AA$62=2,Plan_Epandage!H121,""))</f>
        <v>0</v>
      </c>
      <c r="AF62" s="1369" t="s">
        <v>1547</v>
      </c>
      <c r="AJ62" s="17" t="str">
        <f t="shared" si="2"/>
        <v>Pomme de terre fécule</v>
      </c>
      <c r="AK62" s="805">
        <f>Paramètres!AR127</f>
        <v>65</v>
      </c>
      <c r="AL62" s="805">
        <f>Paramètres!AS127</f>
        <v>75</v>
      </c>
      <c r="AM62" s="805">
        <f>Paramètres!AT127</f>
        <v>60</v>
      </c>
      <c r="AN62" s="805">
        <f>Paramètres!AU127</f>
        <v>80</v>
      </c>
      <c r="AO62" s="805">
        <f>Paramètres!AV127</f>
        <v>100</v>
      </c>
      <c r="AP62" s="805">
        <f>Paramètres!AW127</f>
        <v>90</v>
      </c>
      <c r="AQ62" s="805">
        <f>Paramètres!AX127</f>
        <v>70</v>
      </c>
    </row>
    <row r="63" spans="1:43" ht="12.75" customHeight="1" x14ac:dyDescent="0.2">
      <c r="A63" s="1723"/>
      <c r="B63" s="1741" t="s">
        <v>1548</v>
      </c>
      <c r="C63" s="1742"/>
      <c r="D63" s="1742" t="str">
        <f>IF(Plan_Epandage!$D$6&lt;=170,$AQ$73&amp;$AQ$78,IF(Plan_Epandage!$D$6&gt;170,$AW$73&amp;$AW$78,""))</f>
        <v>Dose prévue Céréales 2: 0 kg/ha</v>
      </c>
      <c r="E63" s="1742" t="str">
        <f>IF(Plan_Epandage!$D$6&lt;=170,$AQ$76&amp;$AQ$81,IF(Plan_Epandage!$D$6&gt;170,$AW$76&amp;$AW$81,""))</f>
        <v>Dose prévue Autre culture 2: 0 kg/ha</v>
      </c>
      <c r="F63" s="1742"/>
      <c r="G63" s="1742"/>
      <c r="H63" s="3280"/>
      <c r="I63" s="3280"/>
      <c r="J63" s="3280"/>
      <c r="K63" s="3280"/>
      <c r="L63" s="3280"/>
      <c r="M63" s="3280"/>
      <c r="N63" s="3280"/>
      <c r="O63" s="1498"/>
      <c r="P63" s="1498"/>
      <c r="Q63" s="1498"/>
      <c r="R63" s="1498"/>
      <c r="S63" s="1498"/>
      <c r="T63" s="1498"/>
      <c r="U63" s="1498"/>
      <c r="V63" s="1498"/>
      <c r="W63" s="1498"/>
      <c r="X63" s="1498"/>
      <c r="Y63" s="1498"/>
      <c r="Z63" s="1498"/>
      <c r="AB63" s="1369">
        <f>IF($AA$62=1,Plan_Epandage!H103,IF($AA$62=2,Plan_Epandage!H120,""))</f>
        <v>0</v>
      </c>
      <c r="AC63" s="1369" t="s">
        <v>1546</v>
      </c>
      <c r="AE63" s="1369">
        <f>IF($AA$62=1,Plan_Epandage!H105,IF($AA$62=2,Plan_Epandage!H122,""))</f>
        <v>0</v>
      </c>
      <c r="AF63" s="1369" t="s">
        <v>862</v>
      </c>
      <c r="AK63" s="1821">
        <v>2</v>
      </c>
      <c r="AL63" s="1821">
        <v>3</v>
      </c>
      <c r="AM63" s="1821">
        <v>4</v>
      </c>
      <c r="AN63" s="1821">
        <v>5</v>
      </c>
      <c r="AO63" s="1821">
        <v>6</v>
      </c>
      <c r="AP63" s="1821">
        <v>7</v>
      </c>
      <c r="AQ63" s="1821">
        <v>8</v>
      </c>
    </row>
    <row r="64" spans="1:43" ht="12.75" customHeight="1" x14ac:dyDescent="0.2">
      <c r="A64" s="1723"/>
      <c r="B64" s="1741"/>
      <c r="C64" s="1723"/>
      <c r="D64" s="1742" t="str">
        <f>IF(Plan_Epandage!$D$6&lt;=170,$AQ$74&amp;$AQ$79,IF(Plan_Epandage!$D$6&gt;170,$AW$74&amp;$AW$79,""))</f>
        <v>Dose prévue Maïs: 70 kg/ha</v>
      </c>
      <c r="E64" s="1723"/>
      <c r="F64" s="1742"/>
      <c r="G64" s="1723"/>
      <c r="H64" s="3280"/>
      <c r="I64" s="3280"/>
      <c r="J64" s="3280"/>
      <c r="K64" s="3280"/>
      <c r="L64" s="3280"/>
      <c r="M64" s="3280"/>
      <c r="N64" s="3280"/>
      <c r="O64" s="1498"/>
      <c r="P64" s="1498"/>
      <c r="Q64" s="1498"/>
      <c r="R64" s="1498"/>
      <c r="S64" s="1498"/>
      <c r="T64" s="1498"/>
      <c r="U64" s="1498"/>
      <c r="V64" s="1498"/>
      <c r="W64" s="1498"/>
      <c r="X64" s="1498"/>
      <c r="Y64" s="1498"/>
      <c r="Z64" s="1498"/>
      <c r="AE64" s="1369">
        <f>IF($AA$62=1,Plan_Epandage!H106,IF($AA$62=2,Plan_Epandage!H123,""))</f>
        <v>0</v>
      </c>
      <c r="AF64" s="1369" t="s">
        <v>862</v>
      </c>
    </row>
    <row r="65" spans="1:60" ht="5.0999999999999996" customHeight="1" thickBot="1" x14ac:dyDescent="0.25">
      <c r="A65" s="1723"/>
      <c r="B65" s="1723"/>
      <c r="C65" s="1723"/>
      <c r="D65" s="1723"/>
      <c r="E65" s="1723"/>
      <c r="F65" s="1723"/>
      <c r="G65" s="1723"/>
      <c r="H65" s="1723"/>
      <c r="I65" s="1723"/>
      <c r="J65" s="1723"/>
      <c r="K65" s="1723"/>
      <c r="L65" s="1723"/>
      <c r="M65" s="1723"/>
      <c r="N65" s="1498"/>
      <c r="O65" s="1498"/>
      <c r="P65" s="1498"/>
      <c r="Q65" s="1498"/>
      <c r="R65" s="1498"/>
      <c r="S65" s="1498"/>
      <c r="T65" s="1498"/>
      <c r="U65" s="1498"/>
      <c r="V65" s="1498"/>
      <c r="W65" s="1498"/>
      <c r="X65" s="1498"/>
      <c r="Y65" s="1498"/>
      <c r="Z65" s="1498"/>
    </row>
    <row r="66" spans="1:60" ht="13.5" thickTop="1" x14ac:dyDescent="0.2">
      <c r="A66" s="1164"/>
      <c r="B66" s="3283" t="s">
        <v>594</v>
      </c>
      <c r="C66" s="3284"/>
      <c r="D66" s="3284"/>
      <c r="E66" s="3284"/>
      <c r="F66" s="3284"/>
      <c r="G66" s="3284"/>
      <c r="H66" s="1186"/>
      <c r="I66" s="1191"/>
      <c r="J66" s="1191"/>
      <c r="K66" s="1191"/>
      <c r="L66" s="1192"/>
      <c r="M66" s="1164"/>
      <c r="N66" s="1498"/>
      <c r="O66" s="1498"/>
      <c r="P66" s="1498"/>
      <c r="Q66" s="1498"/>
      <c r="R66" s="1498"/>
      <c r="S66" s="1498"/>
      <c r="T66" s="1498"/>
      <c r="U66" s="1498"/>
      <c r="V66" s="1498"/>
      <c r="W66" s="1498"/>
      <c r="X66" s="1498"/>
      <c r="Y66" s="1498"/>
      <c r="Z66" s="1498"/>
    </row>
    <row r="67" spans="1:60" x14ac:dyDescent="0.2">
      <c r="A67" s="1164"/>
      <c r="B67" s="3214" t="s">
        <v>799</v>
      </c>
      <c r="C67" s="3215"/>
      <c r="D67" s="3215"/>
      <c r="E67" s="3215"/>
      <c r="F67" s="3215"/>
      <c r="G67" s="3215"/>
      <c r="H67" s="622"/>
      <c r="I67" s="622"/>
      <c r="J67" s="1189"/>
      <c r="K67" s="1189"/>
      <c r="L67" s="1190"/>
      <c r="M67" s="1164"/>
      <c r="N67" s="1498"/>
      <c r="O67" s="1498"/>
      <c r="P67" s="1498"/>
      <c r="Q67" s="1498"/>
      <c r="R67" s="1498"/>
      <c r="S67" s="1498"/>
      <c r="T67" s="1498"/>
      <c r="U67" s="1498"/>
      <c r="V67" s="1498"/>
      <c r="W67" s="1498"/>
      <c r="X67" s="1498"/>
      <c r="Y67" s="1498"/>
      <c r="Z67" s="1498"/>
    </row>
    <row r="68" spans="1:60" ht="5.0999999999999996" customHeight="1" x14ac:dyDescent="0.2">
      <c r="A68" s="1164"/>
      <c r="B68" s="694"/>
      <c r="C68" s="622"/>
      <c r="D68" s="11"/>
      <c r="E68" s="614"/>
      <c r="F68" s="614"/>
      <c r="G68" s="614"/>
      <c r="H68" s="614"/>
      <c r="I68" s="614"/>
      <c r="J68" s="1189"/>
      <c r="K68" s="1189"/>
      <c r="L68" s="1190"/>
      <c r="M68" s="1164"/>
      <c r="N68" s="1498"/>
      <c r="O68" s="1498"/>
      <c r="P68" s="1498"/>
      <c r="Q68" s="1498"/>
      <c r="R68" s="1498"/>
      <c r="S68" s="1498"/>
      <c r="T68" s="1498"/>
      <c r="U68" s="1498"/>
      <c r="V68" s="1498"/>
      <c r="W68" s="1498"/>
      <c r="X68" s="1498"/>
      <c r="Y68" s="1498"/>
      <c r="Z68" s="1498"/>
    </row>
    <row r="69" spans="1:60" x14ac:dyDescent="0.2">
      <c r="A69" s="1164"/>
      <c r="B69" s="3271" t="s">
        <v>896</v>
      </c>
      <c r="C69" s="3272"/>
      <c r="D69" s="3272"/>
      <c r="E69" s="614"/>
      <c r="F69" s="3254" t="s">
        <v>1772</v>
      </c>
      <c r="G69" s="3024"/>
      <c r="H69" s="3024"/>
      <c r="I69" s="614"/>
      <c r="J69" s="3273" t="s">
        <v>652</v>
      </c>
      <c r="K69" s="3273"/>
      <c r="L69" s="3274"/>
      <c r="M69" s="1164"/>
      <c r="N69" s="1498"/>
      <c r="O69" s="1498"/>
      <c r="P69" s="1498"/>
      <c r="Q69" s="1498"/>
      <c r="R69" s="1498"/>
      <c r="S69" s="1498"/>
      <c r="T69" s="1498"/>
      <c r="U69" s="1498"/>
      <c r="V69" s="1498"/>
      <c r="W69" s="1498"/>
      <c r="X69" s="1498"/>
      <c r="Y69" s="1498"/>
      <c r="Z69" s="1498"/>
      <c r="AN69" s="3263" t="s">
        <v>1583</v>
      </c>
      <c r="AO69" s="3263"/>
      <c r="AP69" s="3263"/>
      <c r="AQ69" s="3263"/>
      <c r="AT69" s="3263" t="s">
        <v>1584</v>
      </c>
      <c r="AU69" s="3263"/>
      <c r="AV69" s="3263"/>
      <c r="AW69" s="3263"/>
    </row>
    <row r="70" spans="1:60" x14ac:dyDescent="0.2">
      <c r="A70" s="1164"/>
      <c r="B70" s="3271" t="s">
        <v>915</v>
      </c>
      <c r="C70" s="3272"/>
      <c r="D70" s="3272"/>
      <c r="E70" s="614" t="s">
        <v>650</v>
      </c>
      <c r="F70" s="3000" t="s">
        <v>651</v>
      </c>
      <c r="G70" s="3000"/>
      <c r="H70" s="3000"/>
      <c r="I70" s="614"/>
      <c r="J70" s="3275" t="s">
        <v>916</v>
      </c>
      <c r="K70" s="3275"/>
      <c r="L70" s="3276"/>
      <c r="M70" s="1164"/>
      <c r="N70" s="1498"/>
      <c r="O70" s="1498"/>
      <c r="P70" s="1498"/>
      <c r="Q70" s="1498"/>
      <c r="R70" s="1498"/>
      <c r="S70" s="1498"/>
      <c r="T70" s="1498"/>
      <c r="U70" s="1498"/>
      <c r="V70" s="1498"/>
      <c r="W70" s="1498"/>
      <c r="X70" s="1498"/>
      <c r="Y70" s="1498"/>
      <c r="Z70" s="1498"/>
    </row>
    <row r="71" spans="1:60" x14ac:dyDescent="0.2">
      <c r="A71" s="1164"/>
      <c r="B71" s="691"/>
      <c r="C71" s="614"/>
      <c r="D71" s="614"/>
      <c r="E71" s="614" t="s">
        <v>801</v>
      </c>
      <c r="F71" s="614" t="s">
        <v>625</v>
      </c>
      <c r="G71" s="614" t="s">
        <v>187</v>
      </c>
      <c r="H71" s="614" t="s">
        <v>665</v>
      </c>
      <c r="I71" s="614"/>
      <c r="J71" s="1872" t="s">
        <v>625</v>
      </c>
      <c r="K71" s="1872" t="s">
        <v>187</v>
      </c>
      <c r="L71" s="1873" t="s">
        <v>665</v>
      </c>
      <c r="M71" s="1164"/>
      <c r="N71" s="1498"/>
      <c r="O71" s="1498"/>
      <c r="P71" s="1498"/>
      <c r="Q71" s="1498"/>
      <c r="R71" s="1498"/>
      <c r="S71" s="1498"/>
      <c r="T71" s="1498"/>
      <c r="U71" s="1498"/>
      <c r="V71" s="1498"/>
      <c r="W71" s="1498"/>
      <c r="X71" s="1498"/>
      <c r="Y71" s="1498"/>
      <c r="Z71" s="1498"/>
      <c r="AA71" s="3268" t="s">
        <v>653</v>
      </c>
      <c r="AB71" s="3268"/>
      <c r="AC71" s="3268"/>
      <c r="AE71" s="3269" t="s">
        <v>661</v>
      </c>
      <c r="AF71" s="3269"/>
      <c r="AG71" s="3269"/>
      <c r="AI71" s="3268" t="s">
        <v>1904</v>
      </c>
      <c r="AJ71" s="3268"/>
      <c r="AK71" s="3268"/>
      <c r="AN71" s="1770">
        <f>Priorite_Epand1</f>
        <v>1</v>
      </c>
      <c r="AO71" s="1369">
        <v>1</v>
      </c>
      <c r="AP71" s="1369">
        <v>2</v>
      </c>
      <c r="AQ71" s="1772" t="s">
        <v>1582</v>
      </c>
      <c r="AT71" s="1770">
        <f>Priorite_Epand2</f>
        <v>0</v>
      </c>
      <c r="AU71" s="1369">
        <v>1</v>
      </c>
      <c r="AV71" s="1369">
        <v>2</v>
      </c>
      <c r="AW71" s="1772" t="s">
        <v>1582</v>
      </c>
      <c r="BC71" s="1736" t="str">
        <f t="array" ref="BC71:BH71">TRANSPOSE(BB72:BB77)</f>
        <v>Fumiers</v>
      </c>
      <c r="BD71" s="1736" t="str">
        <v>Composts</v>
      </c>
      <c r="BE71" s="1736" t="str">
        <v>Lisiers</v>
      </c>
      <c r="BF71" s="1736" t="str">
        <v>Co-produits de traitement des lisiers porcins</v>
      </c>
      <c r="BG71" s="1736" t="str">
        <v>Digesta de méthanisation</v>
      </c>
      <c r="BH71" s="1736" t="str">
        <v>Boues d'épuration</v>
      </c>
    </row>
    <row r="72" spans="1:60" x14ac:dyDescent="0.2">
      <c r="A72" s="1164"/>
      <c r="B72" s="691" t="s">
        <v>809</v>
      </c>
      <c r="C72" s="614"/>
      <c r="D72" s="614"/>
      <c r="E72" s="707" t="s">
        <v>800</v>
      </c>
      <c r="F72" s="614"/>
      <c r="G72" s="614"/>
      <c r="H72" s="614"/>
      <c r="I72" s="614"/>
      <c r="J72" s="1463"/>
      <c r="K72" s="1463"/>
      <c r="L72" s="1875"/>
      <c r="M72" s="1164"/>
      <c r="N72" s="1498"/>
      <c r="O72" s="1498"/>
      <c r="P72" s="1498"/>
      <c r="Q72" s="1498"/>
      <c r="R72" s="1498"/>
      <c r="S72" s="1498"/>
      <c r="T72" s="1498"/>
      <c r="U72" s="1498"/>
      <c r="V72" s="1498"/>
      <c r="W72" s="1498"/>
      <c r="X72" s="1498"/>
      <c r="Y72" s="1498"/>
      <c r="Z72" s="1498"/>
      <c r="AA72" s="1821" t="s">
        <v>625</v>
      </c>
      <c r="AB72" s="1821" t="s">
        <v>187</v>
      </c>
      <c r="AC72" s="1821" t="s">
        <v>665</v>
      </c>
      <c r="AE72" s="618" t="s">
        <v>625</v>
      </c>
      <c r="AF72" s="618" t="s">
        <v>187</v>
      </c>
      <c r="AG72" s="618" t="s">
        <v>665</v>
      </c>
      <c r="AI72" s="1821" t="s">
        <v>625</v>
      </c>
      <c r="AJ72" s="1821" t="s">
        <v>187</v>
      </c>
      <c r="AK72" s="1821" t="s">
        <v>665</v>
      </c>
      <c r="AN72" s="1369">
        <v>2</v>
      </c>
      <c r="AO72" s="1520" t="s">
        <v>1585</v>
      </c>
      <c r="AP72" s="1520" t="s">
        <v>1585</v>
      </c>
      <c r="AQ72" s="1736" t="str">
        <f>HLOOKUP($AN$71,$AO$71:$AP$81,AN72,FALSE)</f>
        <v xml:space="preserve">Dose prévue Céréales 1: </v>
      </c>
      <c r="AT72" s="1369">
        <v>2</v>
      </c>
      <c r="AU72" s="1520" t="s">
        <v>1585</v>
      </c>
      <c r="AV72" s="1520" t="s">
        <v>1585</v>
      </c>
      <c r="AW72" s="1736" t="e">
        <f>HLOOKUP($AT$71,$AU$71:$AV$81,AT72,FALSE)</f>
        <v>#N/A</v>
      </c>
      <c r="BB72" s="1337" t="str">
        <f>MID(B72,3,SEARCH("--",B72)-4)</f>
        <v>Fumiers</v>
      </c>
      <c r="BC72" s="1337" t="str">
        <f>RIGHT($C73,LEN($C73)-7)</f>
        <v xml:space="preserve"> de bovins mixtes</v>
      </c>
      <c r="BD72" s="1337" t="str">
        <f>RIGHT(C102,LEN(C102)-5)</f>
        <v xml:space="preserve"> fumiers de bovins mixtes</v>
      </c>
      <c r="BE72" s="1337" t="str">
        <f>RIGHT($C$114,LEN($C$114)-7)&amp;RIGHT($D115,LEN($D115)-1)</f>
        <v xml:space="preserve"> bovins mixtes et couverts</v>
      </c>
      <c r="BF72" s="1337" t="str">
        <f>" "&amp;$C131</f>
        <v xml:space="preserve"> Refus centrifugeuse sur lisier brut</v>
      </c>
      <c r="BG72" s="1337" t="str">
        <f>" "&amp;$C142</f>
        <v xml:space="preserve"> Liquides</v>
      </c>
      <c r="BH72" s="1337" t="str">
        <f>" "&amp;$C149</f>
        <v xml:space="preserve"> Liquides</v>
      </c>
    </row>
    <row r="73" spans="1:60" x14ac:dyDescent="0.2">
      <c r="A73" s="1164"/>
      <c r="B73" s="691"/>
      <c r="C73" s="11" t="s">
        <v>802</v>
      </c>
      <c r="D73" s="614"/>
      <c r="E73" s="1695"/>
      <c r="F73" s="617"/>
      <c r="G73" s="617"/>
      <c r="H73" s="617"/>
      <c r="I73" s="614"/>
      <c r="J73" s="1900">
        <f>$E73*AE73*AI73</f>
        <v>0</v>
      </c>
      <c r="K73" s="1900">
        <f t="shared" ref="J73:L75" si="3">$E73*AF73*AJ73</f>
        <v>0</v>
      </c>
      <c r="L73" s="1901">
        <f t="shared" si="3"/>
        <v>0</v>
      </c>
      <c r="M73" s="1164"/>
      <c r="N73" s="1498"/>
      <c r="O73" s="1498"/>
      <c r="P73" s="1498"/>
      <c r="Q73" s="1498"/>
      <c r="R73" s="1498"/>
      <c r="S73" s="1498"/>
      <c r="T73" s="1498"/>
      <c r="U73" s="1498"/>
      <c r="V73" s="1498"/>
      <c r="W73" s="1498"/>
      <c r="X73" s="1498"/>
      <c r="Y73" s="1498"/>
      <c r="Z73" s="1498"/>
      <c r="AA73" s="1104">
        <f>Paramètres!AR138</f>
        <v>5.5</v>
      </c>
      <c r="AB73" s="1104">
        <f>Paramètres!AS138</f>
        <v>2.5</v>
      </c>
      <c r="AC73" s="1104">
        <f>Paramètres!AT138</f>
        <v>8</v>
      </c>
      <c r="AE73" s="618">
        <f>IF(ISBLANK(F73),AA73,F73)</f>
        <v>5.5</v>
      </c>
      <c r="AF73" s="618">
        <f>IF(ISBLANK(G73),AB73,G73)</f>
        <v>2.5</v>
      </c>
      <c r="AG73" s="618">
        <f>IF(ISBLANK(H73),AC73,H73)</f>
        <v>8</v>
      </c>
      <c r="AI73" s="849">
        <f>Paramètres!AV138</f>
        <v>0.2</v>
      </c>
      <c r="AJ73" s="849">
        <f>Paramètres!AW138</f>
        <v>0.85</v>
      </c>
      <c r="AK73" s="849">
        <f>Paramètres!AX138</f>
        <v>1</v>
      </c>
      <c r="AN73" s="1369">
        <v>3</v>
      </c>
      <c r="AO73" s="1520" t="s">
        <v>1586</v>
      </c>
      <c r="AP73" s="1520" t="s">
        <v>1586</v>
      </c>
      <c r="AQ73" s="1736" t="str">
        <f>HLOOKUP($AN$71,$AO$71:$AP$81,AN73,FALSE)</f>
        <v xml:space="preserve">Dose prévue Céréales 2: </v>
      </c>
      <c r="AT73" s="1369">
        <v>3</v>
      </c>
      <c r="AU73" s="1520" t="s">
        <v>1586</v>
      </c>
      <c r="AV73" s="1520" t="s">
        <v>1586</v>
      </c>
      <c r="AW73" s="1736" t="e">
        <f>HLOOKUP($AT$71,$AU$71:$AV$81,AT73,FALSE)</f>
        <v>#N/A</v>
      </c>
      <c r="AY73" s="1337" t="str">
        <f t="shared" ref="AY73:AY94" si="4">BB$72&amp;BC72</f>
        <v>Fumiers de bovins mixtes</v>
      </c>
      <c r="AZ73" s="1709">
        <f>AA73</f>
        <v>5.5</v>
      </c>
      <c r="BA73" s="1520" t="s">
        <v>801</v>
      </c>
      <c r="BB73" s="1337" t="str">
        <f>MID(B101,3,SEARCH("--",B101)-4)</f>
        <v>Composts</v>
      </c>
      <c r="BC73" s="1337" t="str">
        <f>RIGHT($C74,LEN($C74)-7)</f>
        <v xml:space="preserve"> de bovins à l'engrais</v>
      </c>
      <c r="BD73" s="1337" t="str">
        <f>RIGHT(C103,LEN(C103)-5)</f>
        <v xml:space="preserve"> fumiers d'ovins</v>
      </c>
      <c r="BE73" s="1337" t="str">
        <f>RIGHT($C$114,LEN($C$114)-7)&amp;RIGHT($D116,LEN($D116)-1)</f>
        <v xml:space="preserve"> bovins à l'engrais couverts</v>
      </c>
      <c r="BF73" s="1337" t="str">
        <f>" "&amp;$C132</f>
        <v xml:space="preserve"> Refus centri. lisier brut + boues recycl.</v>
      </c>
      <c r="BG73" s="1337" t="str">
        <f>" "&amp;$C143</f>
        <v xml:space="preserve"> Solides</v>
      </c>
      <c r="BH73" s="1337" t="str">
        <f>" "&amp;$C150</f>
        <v xml:space="preserve"> Pâteuses</v>
      </c>
    </row>
    <row r="74" spans="1:60" x14ac:dyDescent="0.2">
      <c r="A74" s="1164"/>
      <c r="B74" s="691"/>
      <c r="C74" s="11" t="s">
        <v>820</v>
      </c>
      <c r="D74" s="614"/>
      <c r="E74" s="1695"/>
      <c r="F74" s="617"/>
      <c r="G74" s="617"/>
      <c r="H74" s="617"/>
      <c r="I74" s="614"/>
      <c r="J74" s="1900">
        <f t="shared" si="3"/>
        <v>0</v>
      </c>
      <c r="K74" s="1900">
        <f t="shared" si="3"/>
        <v>0</v>
      </c>
      <c r="L74" s="1901">
        <f t="shared" si="3"/>
        <v>0</v>
      </c>
      <c r="M74" s="1164"/>
      <c r="N74" s="1498"/>
      <c r="O74" s="1498"/>
      <c r="P74" s="1498"/>
      <c r="Q74" s="1498"/>
      <c r="R74" s="1498"/>
      <c r="S74" s="1498"/>
      <c r="T74" s="1498"/>
      <c r="U74" s="1498"/>
      <c r="V74" s="1498"/>
      <c r="W74" s="1498"/>
      <c r="X74" s="1498"/>
      <c r="Y74" s="1498"/>
      <c r="Z74" s="1498"/>
      <c r="AA74" s="1104">
        <f>Paramètres!AR139</f>
        <v>5.8</v>
      </c>
      <c r="AB74" s="1104">
        <f>Paramètres!AS139</f>
        <v>2.2999999999999998</v>
      </c>
      <c r="AC74" s="1104">
        <f>Paramètres!AT139</f>
        <v>9.5</v>
      </c>
      <c r="AE74" s="618">
        <f t="shared" ref="AE74:AE123" si="5">IF(ISBLANK(F74),AA74,F74)</f>
        <v>5.8</v>
      </c>
      <c r="AF74" s="618">
        <f t="shared" ref="AF74:AF123" si="6">IF(ISBLANK(G74),AB74,G74)</f>
        <v>2.2999999999999998</v>
      </c>
      <c r="AG74" s="618">
        <f t="shared" ref="AG74:AG123" si="7">IF(ISBLANK(H74),AC74,H74)</f>
        <v>9.5</v>
      </c>
      <c r="AI74" s="849">
        <f>Paramètres!AV139</f>
        <v>0.2</v>
      </c>
      <c r="AJ74" s="849">
        <f>Paramètres!AW139</f>
        <v>0.85</v>
      </c>
      <c r="AK74" s="849">
        <f>Paramètres!AX139</f>
        <v>1</v>
      </c>
      <c r="AN74" s="1369">
        <v>4</v>
      </c>
      <c r="AO74" s="1520" t="s">
        <v>1587</v>
      </c>
      <c r="AP74" s="1520" t="s">
        <v>1587</v>
      </c>
      <c r="AQ74" s="1736" t="str">
        <f>HLOOKUP($AN$71,$AO$71:$AP$81,AN74,FALSE)</f>
        <v xml:space="preserve">Dose prévue Maïs: </v>
      </c>
      <c r="AT74" s="1369">
        <v>4</v>
      </c>
      <c r="AU74" s="1520" t="s">
        <v>1587</v>
      </c>
      <c r="AV74" s="1520" t="s">
        <v>1587</v>
      </c>
      <c r="AW74" s="1736" t="e">
        <f>HLOOKUP($AT$71,$AU$71:$AV$81,AT74,FALSE)</f>
        <v>#N/A</v>
      </c>
      <c r="AY74" s="1337" t="str">
        <f t="shared" si="4"/>
        <v>Fumiers de bovins à l'engrais</v>
      </c>
      <c r="AZ74" s="1709">
        <f>AA74</f>
        <v>5.8</v>
      </c>
      <c r="BA74" s="1520" t="s">
        <v>801</v>
      </c>
      <c r="BB74" s="1337" t="str">
        <f>MID(B113,3,SEARCH("--",B113)-4)</f>
        <v>Lisiers</v>
      </c>
      <c r="BC74" s="1337" t="str">
        <f>RIGHT($C75,LEN($C75)-7)</f>
        <v xml:space="preserve"> d'ovins</v>
      </c>
      <c r="BD74" s="1337" t="str">
        <f>RIGHT(C$104,LEN(C$104)-5)&amp;RIGHT(D105,LEN(D105)-1)</f>
        <v xml:space="preserve"> fumiers de porc sur paille</v>
      </c>
      <c r="BE74" s="1337" t="str">
        <f>RIGHT($C$114,LEN($C$114)-7)&amp;RIGHT($D117,LEN($D117)-1)</f>
        <v xml:space="preserve"> bovins dilués et couverts</v>
      </c>
      <c r="BF74" s="1337" t="str">
        <f>" "&amp;$C133</f>
        <v xml:space="preserve"> Boues biologiques après centrifugeuse</v>
      </c>
      <c r="BG74" s="1337" t="str">
        <f>" "&amp;$C144</f>
        <v xml:space="preserve"> Composts</v>
      </c>
      <c r="BH74" s="1337" t="str">
        <f>" "&amp;$C151</f>
        <v xml:space="preserve"> Composts</v>
      </c>
    </row>
    <row r="75" spans="1:60" x14ac:dyDescent="0.2">
      <c r="A75" s="1164"/>
      <c r="B75" s="691"/>
      <c r="C75" s="11" t="s">
        <v>803</v>
      </c>
      <c r="D75" s="614"/>
      <c r="E75" s="1695"/>
      <c r="F75" s="617"/>
      <c r="G75" s="617"/>
      <c r="H75" s="617"/>
      <c r="I75" s="614"/>
      <c r="J75" s="1900">
        <f t="shared" si="3"/>
        <v>0</v>
      </c>
      <c r="K75" s="1900">
        <f t="shared" si="3"/>
        <v>0</v>
      </c>
      <c r="L75" s="1901">
        <f t="shared" si="3"/>
        <v>0</v>
      </c>
      <c r="M75" s="1164"/>
      <c r="N75" s="1498"/>
      <c r="O75" s="1498"/>
      <c r="P75" s="1498"/>
      <c r="Q75" s="1498"/>
      <c r="R75" s="1498"/>
      <c r="S75" s="1498"/>
      <c r="T75" s="1498"/>
      <c r="U75" s="1498"/>
      <c r="V75" s="1498"/>
      <c r="W75" s="1498"/>
      <c r="X75" s="1498"/>
      <c r="Y75" s="1498"/>
      <c r="Z75" s="1498"/>
      <c r="AA75" s="1104">
        <f>Paramètres!AR140</f>
        <v>7</v>
      </c>
      <c r="AB75" s="1104">
        <f>Paramètres!AS140</f>
        <v>4</v>
      </c>
      <c r="AC75" s="1104">
        <f>Paramètres!AT140</f>
        <v>12</v>
      </c>
      <c r="AE75" s="618">
        <f t="shared" si="5"/>
        <v>7</v>
      </c>
      <c r="AF75" s="618">
        <f t="shared" si="6"/>
        <v>4</v>
      </c>
      <c r="AG75" s="618">
        <f t="shared" si="7"/>
        <v>12</v>
      </c>
      <c r="AI75" s="849">
        <f>Paramètres!AV140</f>
        <v>0.2</v>
      </c>
      <c r="AJ75" s="849">
        <f>Paramètres!AW140</f>
        <v>0.85</v>
      </c>
      <c r="AK75" s="849">
        <f>Paramètres!AX140</f>
        <v>1</v>
      </c>
      <c r="AN75" s="1369">
        <v>5</v>
      </c>
      <c r="AO75" s="1520" t="s">
        <v>1588</v>
      </c>
      <c r="AP75" s="1520" t="s">
        <v>1588</v>
      </c>
      <c r="AQ75" s="1736" t="str">
        <f>HLOOKUP($AN$71,$AO$71:$AP$81,AN75,FALSE)</f>
        <v xml:space="preserve">Dose prévue Autre culture 1: </v>
      </c>
      <c r="AT75" s="1369">
        <v>5</v>
      </c>
      <c r="AU75" s="1520" t="s">
        <v>1588</v>
      </c>
      <c r="AV75" s="1520" t="s">
        <v>1588</v>
      </c>
      <c r="AW75" s="1736" t="e">
        <f>HLOOKUP($AT$71,$AU$71:$AV$81,AT75,FALSE)</f>
        <v>#N/A</v>
      </c>
      <c r="AY75" s="1337" t="str">
        <f t="shared" si="4"/>
        <v>Fumiers d'ovins</v>
      </c>
      <c r="AZ75" s="1709">
        <f>AA75</f>
        <v>7</v>
      </c>
      <c r="BA75" s="1520" t="s">
        <v>801</v>
      </c>
      <c r="BB75" s="1337" t="str">
        <f>MID(B129,3,SEARCH("--",B129)-4)</f>
        <v>Co-produits de traitement des lisiers porcins</v>
      </c>
      <c r="BC75" s="1337" t="str">
        <f>RIGHT($C76,LEN($C76)-7)&amp;RIGHT(D77,LEN(D77)-1)</f>
        <v xml:space="preserve"> de porc sur paille</v>
      </c>
      <c r="BD75" s="1337" t="str">
        <f>RIGHT(C$104,LEN(C$104)-5)&amp;RIGHT(D106,LEN(D106)-1)</f>
        <v xml:space="preserve"> fumiers de porc sur sciure ou copeaux</v>
      </c>
      <c r="BE75" s="1337" t="str">
        <f>RIGHT($C$114,LEN($C$114)-7)&amp;RIGHT($D118,LEN($D118)-1)</f>
        <v xml:space="preserve"> bovins dilués non couverts</v>
      </c>
      <c r="BF75" s="1337" t="str">
        <f>" "&amp;$C134</f>
        <v xml:space="preserve"> Compost de lisier sur paille</v>
      </c>
    </row>
    <row r="76" spans="1:60" x14ac:dyDescent="0.2">
      <c r="A76" s="1164"/>
      <c r="B76" s="691"/>
      <c r="C76" s="11" t="s">
        <v>804</v>
      </c>
      <c r="D76" s="614"/>
      <c r="E76" s="1696"/>
      <c r="F76" s="614"/>
      <c r="G76" s="614"/>
      <c r="H76" s="614"/>
      <c r="I76" s="614"/>
      <c r="J76" s="1881"/>
      <c r="K76" s="1881"/>
      <c r="L76" s="1880"/>
      <c r="M76" s="1164"/>
      <c r="N76" s="1498"/>
      <c r="O76" s="1498"/>
      <c r="P76" s="1498"/>
      <c r="Q76" s="1498"/>
      <c r="R76" s="1498"/>
      <c r="S76" s="1498"/>
      <c r="T76" s="1498"/>
      <c r="U76" s="1498"/>
      <c r="V76" s="1498"/>
      <c r="W76" s="1498"/>
      <c r="X76" s="1498"/>
      <c r="Y76" s="1498"/>
      <c r="Z76" s="1498"/>
      <c r="AA76" s="630"/>
      <c r="AB76" s="630"/>
      <c r="AC76" s="630"/>
      <c r="AI76" s="709"/>
      <c r="AJ76" s="709"/>
      <c r="AK76" s="709"/>
      <c r="AN76" s="1369">
        <v>6</v>
      </c>
      <c r="AO76" s="1520" t="s">
        <v>1589</v>
      </c>
      <c r="AP76" s="1520" t="s">
        <v>1589</v>
      </c>
      <c r="AQ76" s="1736" t="str">
        <f>HLOOKUP($AN$71,$AO$71:$AP$81,AN76,FALSE)</f>
        <v xml:space="preserve">Dose prévue Autre culture 2: </v>
      </c>
      <c r="AT76" s="1369">
        <v>6</v>
      </c>
      <c r="AU76" s="1520" t="s">
        <v>1589</v>
      </c>
      <c r="AV76" s="1520" t="s">
        <v>1589</v>
      </c>
      <c r="AW76" s="1736" t="e">
        <f>HLOOKUP($AT$71,$AU$71:$AV$81,AT76,FALSE)</f>
        <v>#N/A</v>
      </c>
      <c r="AY76" s="1337" t="str">
        <f t="shared" si="4"/>
        <v>Fumiers de porc sur paille</v>
      </c>
      <c r="AZ76" s="1709">
        <f>AA77</f>
        <v>9</v>
      </c>
      <c r="BA76" s="1520" t="s">
        <v>801</v>
      </c>
      <c r="BB76" s="1337" t="str">
        <f>MID(B141,3,SEARCH("--",B141)-4)</f>
        <v>Digesta de méthanisation</v>
      </c>
      <c r="BC76" s="1337" t="str">
        <f>RIGHT($C76,LEN($C76)-7)&amp;RIGHT(D78,LEN(D78)-1)</f>
        <v xml:space="preserve"> de porc sur sciure ou copeaux</v>
      </c>
      <c r="BD76" s="1337" t="str">
        <f>RIGHT(C107,LEN(C107)-5)</f>
        <v xml:space="preserve"> lisier porc + paille</v>
      </c>
      <c r="BE76" s="1337" t="str">
        <f>RIGHT($C$119,LEN($C$119)-7)&amp;RIGHT($D120,LEN($D120)-1)</f>
        <v xml:space="preserve"> de porc mixtes</v>
      </c>
      <c r="BF76" s="1337" t="str">
        <f>" "&amp;$C136</f>
        <v xml:space="preserve"> Eau résiduaire après extraction boues</v>
      </c>
    </row>
    <row r="77" spans="1:60" x14ac:dyDescent="0.2">
      <c r="A77" s="1164"/>
      <c r="B77" s="691"/>
      <c r="C77" s="11"/>
      <c r="D77" s="708" t="s">
        <v>807</v>
      </c>
      <c r="E77" s="1695"/>
      <c r="F77" s="617"/>
      <c r="G77" s="617"/>
      <c r="H77" s="617"/>
      <c r="I77" s="614"/>
      <c r="J77" s="1900">
        <f t="shared" ref="J77:L78" si="8">$E77*AE77*AI77</f>
        <v>0</v>
      </c>
      <c r="K77" s="1900">
        <f t="shared" si="8"/>
        <v>0</v>
      </c>
      <c r="L77" s="1901">
        <f t="shared" si="8"/>
        <v>0</v>
      </c>
      <c r="M77" s="1164"/>
      <c r="N77" s="1498"/>
      <c r="O77" s="1498"/>
      <c r="P77" s="1498"/>
      <c r="Q77" s="1498"/>
      <c r="R77" s="1498"/>
      <c r="S77" s="1498"/>
      <c r="T77" s="1498"/>
      <c r="U77" s="1498"/>
      <c r="V77" s="1498"/>
      <c r="W77" s="1498"/>
      <c r="X77" s="1498"/>
      <c r="Y77" s="1498"/>
      <c r="Z77" s="1498"/>
      <c r="AA77" s="1104">
        <f>Paramètres!AR142</f>
        <v>9</v>
      </c>
      <c r="AB77" s="1104">
        <f>Paramètres!AS142</f>
        <v>8</v>
      </c>
      <c r="AC77" s="1104">
        <f>Paramètres!AT142</f>
        <v>14</v>
      </c>
      <c r="AE77" s="618">
        <f t="shared" si="5"/>
        <v>9</v>
      </c>
      <c r="AF77" s="618">
        <f t="shared" si="6"/>
        <v>8</v>
      </c>
      <c r="AG77" s="618">
        <f t="shared" si="7"/>
        <v>14</v>
      </c>
      <c r="AI77" s="849">
        <f>Paramètres!AV142</f>
        <v>0.4</v>
      </c>
      <c r="AJ77" s="849">
        <f>Paramètres!AW142</f>
        <v>0.85</v>
      </c>
      <c r="AK77" s="849">
        <f>Paramètres!AX142</f>
        <v>1</v>
      </c>
      <c r="AN77" s="1369">
        <v>7</v>
      </c>
      <c r="AO77" s="1520">
        <f>ROUND(Plan_Epandage!H55,0)</f>
        <v>40</v>
      </c>
      <c r="AP77" s="1520">
        <f>ROUND(Plan_Epandage!H73,0)</f>
        <v>0</v>
      </c>
      <c r="AQ77" s="1736" t="str">
        <f>HLOOKUP($AN$71,$AO$71:$AP$81,AN77,FALSE)&amp;$AQ$71</f>
        <v>40 kg/ha</v>
      </c>
      <c r="AT77" s="1369">
        <v>7</v>
      </c>
      <c r="AU77" s="1520">
        <f>ROUND(Plan_Epandage!H102,0)</f>
        <v>0</v>
      </c>
      <c r="AV77" s="1520">
        <f>ROUND(Plan_Epandage!H119,0)</f>
        <v>0</v>
      </c>
      <c r="AW77" s="1736" t="e">
        <f>HLOOKUP($AT$71,$AU$71:$AV$81,AT77,FALSE)&amp;$AW$71</f>
        <v>#N/A</v>
      </c>
      <c r="AY77" s="1337" t="str">
        <f t="shared" si="4"/>
        <v>Fumiers de porc sur sciure ou copeaux</v>
      </c>
      <c r="AZ77" s="1709">
        <f>AA78</f>
        <v>7.5</v>
      </c>
      <c r="BA77" s="1520" t="s">
        <v>801</v>
      </c>
      <c r="BB77" s="1337" t="str">
        <f>MID(B147,3,SEARCH("--",B147)-4)</f>
        <v>Boues d'épuration</v>
      </c>
      <c r="BC77" s="1337" t="str">
        <f>RIGHT($C79,LEN($C79)-7)&amp;RIGHT(D80,LEN(D80)-1)</f>
        <v xml:space="preserve"> de poules pondeuses humides sortie stockage</v>
      </c>
      <c r="BD77" s="1337" t="str">
        <f>RIGHT(C108,LEN(C108)-5)</f>
        <v xml:space="preserve"> fumiers de volailles (sf dindes)</v>
      </c>
      <c r="BE77" s="1337" t="str">
        <f>RIGHT($C$119,LEN($C$119)-7)&amp;RIGHT($D121,LEN($D121)-1)</f>
        <v xml:space="preserve"> de porc charcutier</v>
      </c>
    </row>
    <row r="78" spans="1:60" x14ac:dyDescent="0.2">
      <c r="A78" s="1164"/>
      <c r="B78" s="691"/>
      <c r="C78" s="11"/>
      <c r="D78" s="708" t="s">
        <v>808</v>
      </c>
      <c r="E78" s="1695"/>
      <c r="F78" s="617"/>
      <c r="G78" s="617"/>
      <c r="H78" s="617"/>
      <c r="I78" s="614"/>
      <c r="J78" s="1900">
        <f t="shared" si="8"/>
        <v>0</v>
      </c>
      <c r="K78" s="1900">
        <f t="shared" si="8"/>
        <v>0</v>
      </c>
      <c r="L78" s="1901">
        <f t="shared" si="8"/>
        <v>0</v>
      </c>
      <c r="M78" s="1164"/>
      <c r="N78" s="1498"/>
      <c r="O78" s="1498"/>
      <c r="P78" s="1498"/>
      <c r="Q78" s="1498"/>
      <c r="R78" s="1498"/>
      <c r="S78" s="1498"/>
      <c r="T78" s="1498"/>
      <c r="U78" s="1498"/>
      <c r="V78" s="1498"/>
      <c r="W78" s="1498"/>
      <c r="X78" s="1498"/>
      <c r="Y78" s="1498"/>
      <c r="Z78" s="1498"/>
      <c r="AA78" s="1104">
        <f>Paramètres!AR143</f>
        <v>7.5</v>
      </c>
      <c r="AB78" s="1104">
        <f>Paramètres!AS143</f>
        <v>9</v>
      </c>
      <c r="AC78" s="1104">
        <f>Paramètres!AT143</f>
        <v>12.5</v>
      </c>
      <c r="AE78" s="618">
        <f t="shared" si="5"/>
        <v>7.5</v>
      </c>
      <c r="AF78" s="618">
        <f t="shared" si="6"/>
        <v>9</v>
      </c>
      <c r="AG78" s="618">
        <f t="shared" si="7"/>
        <v>12.5</v>
      </c>
      <c r="AI78" s="849">
        <f>Paramètres!AV143</f>
        <v>0.4</v>
      </c>
      <c r="AJ78" s="849">
        <f>Paramètres!AW143</f>
        <v>0.85</v>
      </c>
      <c r="AK78" s="849">
        <f>Paramètres!AX143</f>
        <v>1</v>
      </c>
      <c r="AN78" s="1369">
        <v>8</v>
      </c>
      <c r="AO78" s="1520">
        <f>ROUND(Plan_Epandage!H56,0)</f>
        <v>0</v>
      </c>
      <c r="AP78" s="1520">
        <f>ROUND(Plan_Epandage!H74,0)</f>
        <v>0</v>
      </c>
      <c r="AQ78" s="1736" t="str">
        <f>HLOOKUP($AN$71,$AO$71:$AP$81,AN78,FALSE)&amp;$AQ$71</f>
        <v>0 kg/ha</v>
      </c>
      <c r="AT78" s="1369">
        <v>8</v>
      </c>
      <c r="AU78" s="1520">
        <f>ROUND(Plan_Epandage!H103,0)</f>
        <v>0</v>
      </c>
      <c r="AV78" s="1520">
        <f>ROUND(Plan_Epandage!H120,0)</f>
        <v>0</v>
      </c>
      <c r="AW78" s="1736" t="e">
        <f>HLOOKUP($AT$71,$AU$71:$AV$81,AT78,FALSE)&amp;$AW$71</f>
        <v>#N/A</v>
      </c>
      <c r="AY78" s="1337" t="str">
        <f t="shared" si="4"/>
        <v>Fumiers de poules pondeuses humides sortie stockage</v>
      </c>
      <c r="AZ78" s="1709">
        <f>AA80</f>
        <v>18</v>
      </c>
      <c r="BA78" s="1520" t="s">
        <v>801</v>
      </c>
      <c r="BC78" s="1337" t="str">
        <f>RIGHT($C79,LEN($C79)-7)&amp;RIGHT(D81,LEN(D81)-1)</f>
        <v xml:space="preserve"> de poules pondeuses séchés en hangar</v>
      </c>
      <c r="BD78" s="1337" t="str">
        <f>RIGHT(C109,LEN(C109)-5)</f>
        <v xml:space="preserve"> fumiers de dindes</v>
      </c>
      <c r="BE78" s="1337" t="str">
        <f>RIGHT($C122,LEN($C122)-7)</f>
        <v xml:space="preserve"> de pondeuses (10% MS)</v>
      </c>
    </row>
    <row r="79" spans="1:60" x14ac:dyDescent="0.2">
      <c r="A79" s="1164"/>
      <c r="B79" s="691"/>
      <c r="C79" s="11" t="s">
        <v>810</v>
      </c>
      <c r="D79" s="614"/>
      <c r="E79" s="1696"/>
      <c r="F79" s="614"/>
      <c r="G79" s="614"/>
      <c r="H79" s="614"/>
      <c r="I79" s="614"/>
      <c r="J79" s="1881"/>
      <c r="K79" s="1881"/>
      <c r="L79" s="1880"/>
      <c r="M79" s="1164"/>
      <c r="N79" s="1498"/>
      <c r="O79" s="1498"/>
      <c r="P79" s="1498"/>
      <c r="Q79" s="1498"/>
      <c r="R79" s="1498"/>
      <c r="S79" s="1498"/>
      <c r="T79" s="1498"/>
      <c r="U79" s="1498"/>
      <c r="V79" s="1498"/>
      <c r="W79" s="1498"/>
      <c r="X79" s="1498"/>
      <c r="Y79" s="1498"/>
      <c r="Z79" s="1498"/>
      <c r="AA79" s="630"/>
      <c r="AB79" s="630"/>
      <c r="AC79" s="630"/>
      <c r="AI79" s="709"/>
      <c r="AJ79" s="709"/>
      <c r="AK79" s="709"/>
      <c r="AN79" s="1369">
        <v>9</v>
      </c>
      <c r="AO79" s="1520">
        <f>ROUND(Plan_Epandage!H57,0)</f>
        <v>70</v>
      </c>
      <c r="AP79" s="1520">
        <f>ROUND(Plan_Epandage!H75,0)</f>
        <v>0</v>
      </c>
      <c r="AQ79" s="1736" t="str">
        <f>HLOOKUP($AN$71,$AO$71:$AP$81,AN79,FALSE)&amp;$AQ$71</f>
        <v>70 kg/ha</v>
      </c>
      <c r="AT79" s="1369">
        <v>9</v>
      </c>
      <c r="AU79" s="1520">
        <f>ROUND(Plan_Epandage!H104,0)</f>
        <v>0</v>
      </c>
      <c r="AV79" s="1520">
        <f>ROUND(Plan_Epandage!H121,0)</f>
        <v>0</v>
      </c>
      <c r="AW79" s="1736" t="e">
        <f>HLOOKUP($AT$71,$AU$71:$AV$81,AT79,FALSE)&amp;$AW$71</f>
        <v>#N/A</v>
      </c>
      <c r="AY79" s="1337" t="str">
        <f t="shared" si="4"/>
        <v>Fumiers de poules pondeuses séchés en hangar</v>
      </c>
      <c r="AZ79" s="1709">
        <f>AA81</f>
        <v>37</v>
      </c>
      <c r="BA79" s="1520" t="s">
        <v>801</v>
      </c>
      <c r="BC79" s="1337" t="str">
        <f>RIGHT($C79,LEN($C79)-7)&amp;RIGHT(D82,LEN(D82)-1)</f>
        <v xml:space="preserve"> de poules pondeuses stockés en fosse profonde</v>
      </c>
      <c r="BE79" s="1337" t="str">
        <f>RIGHT($C123,LEN($C123)-7)</f>
        <v xml:space="preserve"> de dindes</v>
      </c>
    </row>
    <row r="80" spans="1:60" x14ac:dyDescent="0.2">
      <c r="A80" s="1164"/>
      <c r="B80" s="691"/>
      <c r="C80" s="11"/>
      <c r="D80" s="1328" t="s">
        <v>975</v>
      </c>
      <c r="E80" s="1695"/>
      <c r="F80" s="617"/>
      <c r="G80" s="617"/>
      <c r="H80" s="617"/>
      <c r="I80" s="614"/>
      <c r="J80" s="1900">
        <f t="shared" ref="J80:L83" si="9">$E80*AE80*AI80</f>
        <v>0</v>
      </c>
      <c r="K80" s="1900">
        <f t="shared" si="9"/>
        <v>0</v>
      </c>
      <c r="L80" s="1901">
        <f t="shared" si="9"/>
        <v>0</v>
      </c>
      <c r="M80" s="1164"/>
      <c r="N80" s="1498"/>
      <c r="O80" s="1498"/>
      <c r="P80" s="1498"/>
      <c r="Q80" s="1498"/>
      <c r="R80" s="1498"/>
      <c r="S80" s="1498"/>
      <c r="T80" s="1498"/>
      <c r="U80" s="1498"/>
      <c r="V80" s="1498"/>
      <c r="W80" s="1498"/>
      <c r="X80" s="1498"/>
      <c r="Y80" s="1498"/>
      <c r="Z80" s="1498"/>
      <c r="AA80" s="1104">
        <f>Paramètres!AR145</f>
        <v>18</v>
      </c>
      <c r="AB80" s="1104">
        <f>Paramètres!AS145</f>
        <v>14</v>
      </c>
      <c r="AC80" s="1104">
        <f>Paramètres!AT145</f>
        <v>12</v>
      </c>
      <c r="AE80" s="618">
        <f t="shared" si="5"/>
        <v>18</v>
      </c>
      <c r="AF80" s="618">
        <f t="shared" si="6"/>
        <v>14</v>
      </c>
      <c r="AG80" s="618">
        <f t="shared" si="7"/>
        <v>12</v>
      </c>
      <c r="AI80" s="849">
        <f>Paramètres!AV145</f>
        <v>0.5</v>
      </c>
      <c r="AJ80" s="849">
        <f>Paramètres!AW145</f>
        <v>0.65</v>
      </c>
      <c r="AK80" s="849">
        <f>Paramètres!AX145</f>
        <v>1</v>
      </c>
      <c r="AN80" s="1369">
        <v>10</v>
      </c>
      <c r="AO80" s="1520">
        <f>ROUND(Plan_Epandage!H58,0)</f>
        <v>0</v>
      </c>
      <c r="AP80" s="1520">
        <f>ROUND(Plan_Epandage!H76,0)</f>
        <v>0</v>
      </c>
      <c r="AQ80" s="1736" t="str">
        <f>HLOOKUP($AN$71,$AO$71:$AP$81,AN80,FALSE)&amp;$AQ$71</f>
        <v>0 kg/ha</v>
      </c>
      <c r="AT80" s="1369">
        <v>10</v>
      </c>
      <c r="AU80" s="1520">
        <f>ROUND(Plan_Epandage!H105,0)</f>
        <v>0</v>
      </c>
      <c r="AV80" s="1520">
        <f>ROUND(Plan_Epandage!H122,0)</f>
        <v>0</v>
      </c>
      <c r="AW80" s="1736" t="e">
        <f>HLOOKUP($AT$71,$AU$71:$AV$81,AT80,FALSE)&amp;$AW$71</f>
        <v>#N/A</v>
      </c>
      <c r="AY80" s="1337" t="str">
        <f t="shared" si="4"/>
        <v>Fumiers de poules pondeuses stockés en fosse profonde</v>
      </c>
      <c r="AZ80" s="1709">
        <f>AA82</f>
        <v>37</v>
      </c>
      <c r="BA80" s="1520" t="s">
        <v>801</v>
      </c>
      <c r="BC80" s="1337" t="str">
        <f>RIGHT($C79,LEN($C79)-7)&amp;RIGHT(D83,LEN(D83)-1)</f>
        <v xml:space="preserve"> de poules pondeuses séchés à 80% de MS</v>
      </c>
      <c r="BE80" s="1337" t="str">
        <f>RIGHT($C124,LEN($C124)-7)</f>
        <v xml:space="preserve"> de canards</v>
      </c>
    </row>
    <row r="81" spans="1:60" x14ac:dyDescent="0.2">
      <c r="A81" s="1164"/>
      <c r="B81" s="691"/>
      <c r="C81" s="11"/>
      <c r="D81" s="708" t="s">
        <v>811</v>
      </c>
      <c r="E81" s="1695"/>
      <c r="F81" s="617"/>
      <c r="G81" s="617"/>
      <c r="H81" s="617"/>
      <c r="I81" s="614"/>
      <c r="J81" s="1900">
        <f t="shared" si="9"/>
        <v>0</v>
      </c>
      <c r="K81" s="1900">
        <f t="shared" si="9"/>
        <v>0</v>
      </c>
      <c r="L81" s="1901">
        <f t="shared" si="9"/>
        <v>0</v>
      </c>
      <c r="M81" s="1164"/>
      <c r="N81" s="1498"/>
      <c r="O81" s="1498"/>
      <c r="P81" s="1498"/>
      <c r="Q81" s="1498"/>
      <c r="R81" s="1498"/>
      <c r="S81" s="1498"/>
      <c r="T81" s="1498"/>
      <c r="U81" s="1498"/>
      <c r="V81" s="1498"/>
      <c r="W81" s="1498"/>
      <c r="X81" s="1498"/>
      <c r="Y81" s="1498"/>
      <c r="Z81" s="1498"/>
      <c r="AA81" s="1104">
        <f>Paramètres!AR146</f>
        <v>37</v>
      </c>
      <c r="AB81" s="1104">
        <f>Paramètres!AS146</f>
        <v>38</v>
      </c>
      <c r="AC81" s="1104">
        <f>Paramètres!AT146</f>
        <v>25</v>
      </c>
      <c r="AE81" s="618">
        <f t="shared" si="5"/>
        <v>37</v>
      </c>
      <c r="AF81" s="618">
        <f t="shared" si="6"/>
        <v>38</v>
      </c>
      <c r="AG81" s="618">
        <f t="shared" si="7"/>
        <v>25</v>
      </c>
      <c r="AI81" s="849">
        <f>Paramètres!AV146</f>
        <v>0.5</v>
      </c>
      <c r="AJ81" s="849">
        <f>Paramètres!AW146</f>
        <v>0.65</v>
      </c>
      <c r="AK81" s="849">
        <f>Paramètres!AX146</f>
        <v>1</v>
      </c>
      <c r="AN81" s="1369">
        <v>11</v>
      </c>
      <c r="AO81" s="1520">
        <f>ROUND(Plan_Epandage!H59,0)</f>
        <v>0</v>
      </c>
      <c r="AP81" s="1520">
        <f>ROUND(Plan_Epandage!H77,0)</f>
        <v>0</v>
      </c>
      <c r="AQ81" s="1736" t="str">
        <f>HLOOKUP($AN$71,$AO$71:$AP$81,AN81,FALSE)&amp;$AQ$71</f>
        <v>0 kg/ha</v>
      </c>
      <c r="AT81" s="1369">
        <v>11</v>
      </c>
      <c r="AU81" s="1520">
        <f>ROUND(Plan_Epandage!H106,0)</f>
        <v>0</v>
      </c>
      <c r="AV81" s="1520">
        <f>ROUND(Plan_Epandage!H123,0)</f>
        <v>0</v>
      </c>
      <c r="AW81" s="1736" t="e">
        <f>HLOOKUP($AT$71,$AU$71:$AV$81,AT81,FALSE)&amp;$AW$71</f>
        <v>#N/A</v>
      </c>
      <c r="AY81" s="1337" t="str">
        <f t="shared" si="4"/>
        <v>Fumiers de poules pondeuses séchés à 80% de MS</v>
      </c>
      <c r="AZ81" s="1709">
        <f>AA83</f>
        <v>45</v>
      </c>
      <c r="BA81" s="1520" t="s">
        <v>801</v>
      </c>
      <c r="BC81" s="1337" t="str">
        <f>RIGHT($C$84,LEN($C$84)-7)&amp;RIGHT(D85,LEN(D85)-1)</f>
        <v xml:space="preserve"> de poulets standard humides sortie stockage</v>
      </c>
      <c r="BE81" s="1337" t="str">
        <f>RIGHT($C125,LEN($C125)-7)</f>
        <v xml:space="preserve"> de lapins</v>
      </c>
    </row>
    <row r="82" spans="1:60" x14ac:dyDescent="0.2">
      <c r="A82" s="1164"/>
      <c r="B82" s="691"/>
      <c r="C82" s="11"/>
      <c r="D82" s="1328" t="s">
        <v>976</v>
      </c>
      <c r="E82" s="1695"/>
      <c r="F82" s="617"/>
      <c r="G82" s="617"/>
      <c r="H82" s="617"/>
      <c r="I82" s="614"/>
      <c r="J82" s="1900">
        <f t="shared" si="9"/>
        <v>0</v>
      </c>
      <c r="K82" s="1900">
        <f t="shared" si="9"/>
        <v>0</v>
      </c>
      <c r="L82" s="1901">
        <f t="shared" si="9"/>
        <v>0</v>
      </c>
      <c r="M82" s="1164"/>
      <c r="N82" s="1498"/>
      <c r="O82" s="1498"/>
      <c r="P82" s="1498"/>
      <c r="Q82" s="1498"/>
      <c r="R82" s="1498"/>
      <c r="S82" s="1498"/>
      <c r="T82" s="1498"/>
      <c r="U82" s="1498"/>
      <c r="V82" s="1498"/>
      <c r="W82" s="1498"/>
      <c r="X82" s="1498"/>
      <c r="Y82" s="1498"/>
      <c r="Z82" s="1498"/>
      <c r="AA82" s="1104">
        <f>Paramètres!AR147</f>
        <v>37</v>
      </c>
      <c r="AB82" s="1104">
        <f>Paramètres!AS147</f>
        <v>41</v>
      </c>
      <c r="AC82" s="1104">
        <f>Paramètres!AT147</f>
        <v>24</v>
      </c>
      <c r="AE82" s="618">
        <f t="shared" si="5"/>
        <v>37</v>
      </c>
      <c r="AF82" s="618">
        <f t="shared" si="6"/>
        <v>41</v>
      </c>
      <c r="AG82" s="618">
        <f t="shared" si="7"/>
        <v>24</v>
      </c>
      <c r="AI82" s="849">
        <f>Paramètres!AV147</f>
        <v>0.5</v>
      </c>
      <c r="AJ82" s="849">
        <f>Paramètres!AW147</f>
        <v>0.65</v>
      </c>
      <c r="AK82" s="849">
        <f>Paramètres!AX147</f>
        <v>1</v>
      </c>
      <c r="AY82" s="1337" t="str">
        <f t="shared" si="4"/>
        <v>Fumiers de poulets standard humides sortie stockage</v>
      </c>
      <c r="AZ82" s="1709">
        <f>AA85</f>
        <v>29</v>
      </c>
      <c r="BA82" s="1520" t="s">
        <v>801</v>
      </c>
      <c r="BC82" s="1337" t="str">
        <f>RIGHT($C$84,LEN($C$84)-7)&amp;RIGHT(D86,LEN(D86)-1)</f>
        <v xml:space="preserve"> de poulets standard séchés en hangar</v>
      </c>
    </row>
    <row r="83" spans="1:60" x14ac:dyDescent="0.2">
      <c r="A83" s="1164"/>
      <c r="B83" s="691"/>
      <c r="C83" s="11"/>
      <c r="D83" s="708" t="s">
        <v>812</v>
      </c>
      <c r="E83" s="1695"/>
      <c r="F83" s="617"/>
      <c r="G83" s="617"/>
      <c r="H83" s="617"/>
      <c r="I83" s="614"/>
      <c r="J83" s="1900">
        <f t="shared" si="9"/>
        <v>0</v>
      </c>
      <c r="K83" s="1900">
        <f t="shared" si="9"/>
        <v>0</v>
      </c>
      <c r="L83" s="1901">
        <f t="shared" si="9"/>
        <v>0</v>
      </c>
      <c r="M83" s="1164"/>
      <c r="N83" s="1498"/>
      <c r="O83" s="1498"/>
      <c r="P83" s="1498"/>
      <c r="Q83" s="1498"/>
      <c r="R83" s="1498"/>
      <c r="S83" s="1498"/>
      <c r="T83" s="1498"/>
      <c r="U83" s="1498"/>
      <c r="V83" s="1498"/>
      <c r="W83" s="1498"/>
      <c r="X83" s="1498"/>
      <c r="Y83" s="1498"/>
      <c r="Z83" s="1498"/>
      <c r="AA83" s="1104">
        <f>Paramètres!AR148</f>
        <v>45</v>
      </c>
      <c r="AB83" s="1104">
        <f>Paramètres!AS148</f>
        <v>40</v>
      </c>
      <c r="AC83" s="1104">
        <f>Paramètres!AT148</f>
        <v>30</v>
      </c>
      <c r="AE83" s="618">
        <f t="shared" si="5"/>
        <v>45</v>
      </c>
      <c r="AF83" s="618">
        <f t="shared" si="6"/>
        <v>40</v>
      </c>
      <c r="AG83" s="618">
        <f t="shared" si="7"/>
        <v>30</v>
      </c>
      <c r="AI83" s="849">
        <f>Paramètres!AV148</f>
        <v>0.5</v>
      </c>
      <c r="AJ83" s="849">
        <f>Paramètres!AW148</f>
        <v>0.65</v>
      </c>
      <c r="AK83" s="849">
        <f>Paramètres!AX148</f>
        <v>1</v>
      </c>
      <c r="AY83" s="1337" t="str">
        <f t="shared" si="4"/>
        <v>Fumiers de poulets standard séchés en hangar</v>
      </c>
      <c r="AZ83" s="1709">
        <f>AA86</f>
        <v>26</v>
      </c>
      <c r="BA83" s="1520" t="s">
        <v>801</v>
      </c>
      <c r="BC83" s="1337" t="str">
        <f>RIGHT($C$84,LEN($C$84)-7)&amp;RIGHT(D87,LEN(D87)-1)</f>
        <v xml:space="preserve"> de poulets standard humides</v>
      </c>
    </row>
    <row r="84" spans="1:60" x14ac:dyDescent="0.2">
      <c r="A84" s="1164"/>
      <c r="B84" s="691"/>
      <c r="C84" s="11" t="s">
        <v>110</v>
      </c>
      <c r="D84" s="614"/>
      <c r="E84" s="1696"/>
      <c r="F84" s="614"/>
      <c r="G84" s="614"/>
      <c r="H84" s="614"/>
      <c r="I84" s="614"/>
      <c r="J84" s="1881"/>
      <c r="K84" s="1881"/>
      <c r="L84" s="1880"/>
      <c r="M84" s="1164"/>
      <c r="N84" s="1498"/>
      <c r="O84" s="1498"/>
      <c r="P84" s="1498"/>
      <c r="Q84" s="1498"/>
      <c r="R84" s="1498"/>
      <c r="S84" s="1498"/>
      <c r="T84" s="1498"/>
      <c r="U84" s="1498"/>
      <c r="V84" s="1498"/>
      <c r="W84" s="1498"/>
      <c r="X84" s="1498"/>
      <c r="Y84" s="1498"/>
      <c r="Z84" s="1498"/>
      <c r="AA84" s="630"/>
      <c r="AB84" s="630"/>
      <c r="AC84" s="630"/>
      <c r="AI84" s="709"/>
      <c r="AJ84" s="709"/>
      <c r="AK84" s="709"/>
      <c r="AY84" s="1337" t="str">
        <f t="shared" si="4"/>
        <v>Fumiers de poulets standard humides</v>
      </c>
      <c r="AZ84" s="1709">
        <f>AA87</f>
        <v>22</v>
      </c>
      <c r="BA84" s="1520" t="s">
        <v>801</v>
      </c>
      <c r="BC84" s="1337" t="str">
        <f>RIGHT($C$88,LEN($C$88)-7)&amp;RIGHT(D89,LEN(D89)-1)</f>
        <v xml:space="preserve"> de poulets label humides sortie stockage</v>
      </c>
    </row>
    <row r="85" spans="1:60" x14ac:dyDescent="0.2">
      <c r="A85" s="1164"/>
      <c r="B85" s="691"/>
      <c r="C85" s="11"/>
      <c r="D85" s="1328" t="s">
        <v>975</v>
      </c>
      <c r="E85" s="1695"/>
      <c r="F85" s="617"/>
      <c r="G85" s="617"/>
      <c r="H85" s="617"/>
      <c r="I85" s="614"/>
      <c r="J85" s="1900">
        <f t="shared" ref="J85:L87" si="10">$E85*AE85*AI85</f>
        <v>0</v>
      </c>
      <c r="K85" s="1900">
        <f t="shared" si="10"/>
        <v>0</v>
      </c>
      <c r="L85" s="1901">
        <f t="shared" si="10"/>
        <v>0</v>
      </c>
      <c r="M85" s="1164"/>
      <c r="N85" s="1498"/>
      <c r="O85" s="1498"/>
      <c r="P85" s="1498"/>
      <c r="Q85" s="1498"/>
      <c r="R85" s="1498"/>
      <c r="S85" s="1498"/>
      <c r="T85" s="1498"/>
      <c r="U85" s="1498"/>
      <c r="V85" s="1498"/>
      <c r="W85" s="1498"/>
      <c r="X85" s="1498"/>
      <c r="Y85" s="1498"/>
      <c r="Z85" s="1498"/>
      <c r="AA85" s="1104">
        <f>Paramètres!AR150</f>
        <v>29</v>
      </c>
      <c r="AB85" s="1104">
        <f>Paramètres!AS150</f>
        <v>25</v>
      </c>
      <c r="AC85" s="1104">
        <f>Paramètres!AT150</f>
        <v>20</v>
      </c>
      <c r="AE85" s="618">
        <f t="shared" si="5"/>
        <v>29</v>
      </c>
      <c r="AF85" s="618">
        <f t="shared" si="6"/>
        <v>25</v>
      </c>
      <c r="AG85" s="618">
        <f t="shared" si="7"/>
        <v>20</v>
      </c>
      <c r="AI85" s="849">
        <f>Paramètres!AV150</f>
        <v>0.55000000000000004</v>
      </c>
      <c r="AJ85" s="849">
        <f>Paramètres!AW150</f>
        <v>0.65</v>
      </c>
      <c r="AK85" s="849">
        <f>Paramètres!AX150</f>
        <v>1</v>
      </c>
      <c r="AY85" s="1337" t="str">
        <f t="shared" si="4"/>
        <v>Fumiers de poulets label humides sortie stockage</v>
      </c>
      <c r="AZ85" s="1709">
        <f>AA89</f>
        <v>22</v>
      </c>
      <c r="BA85" s="1520" t="s">
        <v>801</v>
      </c>
      <c r="BC85" s="1337" t="str">
        <f>RIGHT($C$88,LEN($C$88)-7)&amp;RIGHT(D90,LEN(D90)-1)</f>
        <v xml:space="preserve"> de poulets label séchés en hangar</v>
      </c>
    </row>
    <row r="86" spans="1:60" x14ac:dyDescent="0.2">
      <c r="A86" s="1164"/>
      <c r="B86" s="691"/>
      <c r="C86" s="11"/>
      <c r="D86" s="708" t="s">
        <v>811</v>
      </c>
      <c r="E86" s="1695"/>
      <c r="F86" s="617"/>
      <c r="G86" s="617"/>
      <c r="H86" s="617"/>
      <c r="I86" s="614"/>
      <c r="J86" s="1900">
        <f t="shared" si="10"/>
        <v>0</v>
      </c>
      <c r="K86" s="1900">
        <f t="shared" si="10"/>
        <v>0</v>
      </c>
      <c r="L86" s="1901">
        <f t="shared" si="10"/>
        <v>0</v>
      </c>
      <c r="M86" s="1164"/>
      <c r="N86" s="1498"/>
      <c r="O86" s="1498"/>
      <c r="P86" s="1498"/>
      <c r="Q86" s="1498"/>
      <c r="R86" s="1498"/>
      <c r="S86" s="1498"/>
      <c r="T86" s="1498"/>
      <c r="U86" s="1498"/>
      <c r="V86" s="1498"/>
      <c r="W86" s="1498"/>
      <c r="X86" s="1498"/>
      <c r="Y86" s="1498"/>
      <c r="Z86" s="1498"/>
      <c r="AA86" s="1104">
        <f>Paramètres!AR151</f>
        <v>26</v>
      </c>
      <c r="AB86" s="1104">
        <f>Paramètres!AS151</f>
        <v>24</v>
      </c>
      <c r="AC86" s="1104">
        <f>Paramètres!AT151</f>
        <v>19</v>
      </c>
      <c r="AE86" s="618">
        <f t="shared" si="5"/>
        <v>26</v>
      </c>
      <c r="AF86" s="618">
        <f t="shared" si="6"/>
        <v>24</v>
      </c>
      <c r="AG86" s="618">
        <f t="shared" si="7"/>
        <v>19</v>
      </c>
      <c r="AI86" s="849">
        <f>Paramètres!AV151</f>
        <v>0.55000000000000004</v>
      </c>
      <c r="AJ86" s="849">
        <f>Paramètres!AW151</f>
        <v>0.65</v>
      </c>
      <c r="AK86" s="849">
        <f>Paramètres!AX151</f>
        <v>1</v>
      </c>
      <c r="AY86" s="1337" t="str">
        <f t="shared" si="4"/>
        <v>Fumiers de poulets label séchés en hangar</v>
      </c>
      <c r="AZ86" s="1709">
        <f>AA90</f>
        <v>18</v>
      </c>
      <c r="BA86" s="1520" t="s">
        <v>801</v>
      </c>
      <c r="BC86" s="1337" t="str">
        <f>RIGHT($C$88,LEN($C$88)-7)&amp;RIGHT(D91,LEN(D91)-1)</f>
        <v xml:space="preserve"> de poulets label humides</v>
      </c>
    </row>
    <row r="87" spans="1:60" x14ac:dyDescent="0.2">
      <c r="A87" s="1164"/>
      <c r="B87" s="691"/>
      <c r="C87" s="11"/>
      <c r="D87" s="708" t="s">
        <v>825</v>
      </c>
      <c r="E87" s="1695"/>
      <c r="F87" s="617"/>
      <c r="G87" s="617"/>
      <c r="H87" s="617"/>
      <c r="I87" s="614"/>
      <c r="J87" s="1900">
        <f t="shared" si="10"/>
        <v>0</v>
      </c>
      <c r="K87" s="1900">
        <f t="shared" si="10"/>
        <v>0</v>
      </c>
      <c r="L87" s="1901">
        <f t="shared" si="10"/>
        <v>0</v>
      </c>
      <c r="M87" s="1164"/>
      <c r="N87" s="1498"/>
      <c r="O87" s="1498"/>
      <c r="P87" s="1498"/>
      <c r="Q87" s="1498"/>
      <c r="R87" s="1498"/>
      <c r="S87" s="1498"/>
      <c r="T87" s="1498"/>
      <c r="U87" s="1498"/>
      <c r="V87" s="1498"/>
      <c r="W87" s="1498"/>
      <c r="X87" s="1498"/>
      <c r="Y87" s="1498"/>
      <c r="Z87" s="1498"/>
      <c r="AA87" s="1104">
        <f>Paramètres!AR152</f>
        <v>22</v>
      </c>
      <c r="AB87" s="1104">
        <f>Paramètres!AS152</f>
        <v>22</v>
      </c>
      <c r="AC87" s="1104">
        <f>Paramètres!AT152</f>
        <v>15</v>
      </c>
      <c r="AE87" s="618">
        <f t="shared" si="5"/>
        <v>22</v>
      </c>
      <c r="AF87" s="618">
        <f t="shared" si="6"/>
        <v>22</v>
      </c>
      <c r="AG87" s="618">
        <f t="shared" si="7"/>
        <v>15</v>
      </c>
      <c r="AI87" s="849">
        <f>Paramètres!AV152</f>
        <v>0.55000000000000004</v>
      </c>
      <c r="AJ87" s="849">
        <f>Paramètres!AW152</f>
        <v>0.65</v>
      </c>
      <c r="AK87" s="849">
        <f>Paramètres!AX152</f>
        <v>1</v>
      </c>
      <c r="AY87" s="1337" t="str">
        <f t="shared" si="4"/>
        <v>Fumiers de poulets label humides</v>
      </c>
      <c r="AZ87" s="1709">
        <f>AA91</f>
        <v>15</v>
      </c>
      <c r="BA87" s="1520" t="s">
        <v>801</v>
      </c>
      <c r="BC87" s="1337" t="str">
        <f>RIGHT($C$92,LEN($C$92)-7)&amp;RIGHT(D93,LEN(D93)-1)</f>
        <v xml:space="preserve"> de dindes humides sortie stockage</v>
      </c>
    </row>
    <row r="88" spans="1:60" x14ac:dyDescent="0.2">
      <c r="A88" s="1164"/>
      <c r="B88" s="691"/>
      <c r="C88" s="11" t="s">
        <v>111</v>
      </c>
      <c r="D88" s="614"/>
      <c r="E88" s="1696"/>
      <c r="F88" s="614"/>
      <c r="G88" s="614"/>
      <c r="H88" s="614"/>
      <c r="I88" s="614"/>
      <c r="J88" s="1881"/>
      <c r="K88" s="1881"/>
      <c r="L88" s="1880"/>
      <c r="M88" s="1164"/>
      <c r="N88" s="1498"/>
      <c r="O88" s="1498"/>
      <c r="P88" s="1498"/>
      <c r="Q88" s="1498"/>
      <c r="R88" s="1498"/>
      <c r="S88" s="1498"/>
      <c r="T88" s="1498"/>
      <c r="U88" s="1498"/>
      <c r="V88" s="1498"/>
      <c r="W88" s="1498"/>
      <c r="X88" s="1498"/>
      <c r="Y88" s="1498"/>
      <c r="Z88" s="1498"/>
      <c r="AA88" s="630"/>
      <c r="AB88" s="630"/>
      <c r="AC88" s="630"/>
      <c r="AI88" s="709"/>
      <c r="AJ88" s="709"/>
      <c r="AK88" s="709"/>
      <c r="AY88" s="1337" t="str">
        <f t="shared" si="4"/>
        <v>Fumiers de dindes humides sortie stockage</v>
      </c>
      <c r="AZ88" s="1709">
        <f>AA93</f>
        <v>26</v>
      </c>
      <c r="BA88" s="1520" t="s">
        <v>801</v>
      </c>
      <c r="BC88" s="1337" t="str">
        <f>RIGHT($C$92,LEN($C$92)-7)&amp;RIGHT(D94,LEN(D94)-1)</f>
        <v xml:space="preserve"> de dindes séchés en hangar</v>
      </c>
    </row>
    <row r="89" spans="1:60" x14ac:dyDescent="0.2">
      <c r="A89" s="1164"/>
      <c r="B89" s="691"/>
      <c r="C89" s="11"/>
      <c r="D89" s="1328" t="s">
        <v>975</v>
      </c>
      <c r="E89" s="1695"/>
      <c r="F89" s="617"/>
      <c r="G89" s="617"/>
      <c r="H89" s="617"/>
      <c r="I89" s="614"/>
      <c r="J89" s="1900">
        <f t="shared" ref="J89:L91" si="11">$E89*AE89*AI89</f>
        <v>0</v>
      </c>
      <c r="K89" s="1900">
        <f t="shared" si="11"/>
        <v>0</v>
      </c>
      <c r="L89" s="1901">
        <f t="shared" si="11"/>
        <v>0</v>
      </c>
      <c r="M89" s="1164"/>
      <c r="N89" s="1498"/>
      <c r="O89" s="1498"/>
      <c r="P89" s="1498"/>
      <c r="Q89" s="1498"/>
      <c r="R89" s="1498"/>
      <c r="S89" s="1498"/>
      <c r="T89" s="1498"/>
      <c r="U89" s="1498"/>
      <c r="V89" s="1498"/>
      <c r="W89" s="1498"/>
      <c r="X89" s="1498"/>
      <c r="Y89" s="1498"/>
      <c r="Z89" s="1498"/>
      <c r="AA89" s="1104">
        <f>Paramètres!AR154</f>
        <v>22</v>
      </c>
      <c r="AB89" s="1104">
        <f>Paramètres!AS154</f>
        <v>14</v>
      </c>
      <c r="AC89" s="1104">
        <f>Paramètres!AT154</f>
        <v>18</v>
      </c>
      <c r="AE89" s="618">
        <f t="shared" ref="AE89:AG91" si="12">IF(ISBLANK(F89),AA89,F89)</f>
        <v>22</v>
      </c>
      <c r="AF89" s="618">
        <f t="shared" si="12"/>
        <v>14</v>
      </c>
      <c r="AG89" s="618">
        <f t="shared" si="12"/>
        <v>18</v>
      </c>
      <c r="AI89" s="849">
        <f>Paramètres!AV154</f>
        <v>0.6</v>
      </c>
      <c r="AJ89" s="849">
        <f>Paramètres!AW154</f>
        <v>0.65</v>
      </c>
      <c r="AK89" s="849">
        <f>Paramètres!AX154</f>
        <v>1</v>
      </c>
      <c r="AY89" s="1337" t="str">
        <f t="shared" si="4"/>
        <v>Fumiers de dindes séchés en hangar</v>
      </c>
      <c r="AZ89" s="1709">
        <f>AA94</f>
        <v>46</v>
      </c>
      <c r="BA89" s="1520" t="s">
        <v>801</v>
      </c>
      <c r="BC89" s="1337" t="str">
        <f>RIGHT($C$92,LEN($C$92)-7)&amp;RIGHT(D95,LEN(D95)-1)</f>
        <v xml:space="preserve"> de dindes humides</v>
      </c>
    </row>
    <row r="90" spans="1:60" x14ac:dyDescent="0.2">
      <c r="A90" s="1164"/>
      <c r="B90" s="691"/>
      <c r="C90" s="11"/>
      <c r="D90" s="708" t="s">
        <v>811</v>
      </c>
      <c r="E90" s="1695"/>
      <c r="F90" s="617"/>
      <c r="G90" s="617"/>
      <c r="H90" s="617"/>
      <c r="I90" s="614"/>
      <c r="J90" s="1900">
        <f t="shared" si="11"/>
        <v>0</v>
      </c>
      <c r="K90" s="1900">
        <f t="shared" si="11"/>
        <v>0</v>
      </c>
      <c r="L90" s="1901">
        <f t="shared" si="11"/>
        <v>0</v>
      </c>
      <c r="M90" s="1164"/>
      <c r="N90" s="1498"/>
      <c r="O90" s="1498"/>
      <c r="P90" s="1498"/>
      <c r="Q90" s="1498"/>
      <c r="R90" s="1498"/>
      <c r="S90" s="1498"/>
      <c r="T90" s="1498"/>
      <c r="U90" s="1498"/>
      <c r="V90" s="1498"/>
      <c r="W90" s="1498"/>
      <c r="X90" s="1498"/>
      <c r="Y90" s="1498"/>
      <c r="Z90" s="1498"/>
      <c r="AA90" s="1104">
        <f>Paramètres!AR155</f>
        <v>18</v>
      </c>
      <c r="AB90" s="1104">
        <f>Paramètres!AS155</f>
        <v>17</v>
      </c>
      <c r="AC90" s="1104">
        <f>Paramètres!AT155</f>
        <v>15</v>
      </c>
      <c r="AE90" s="618">
        <f t="shared" si="12"/>
        <v>18</v>
      </c>
      <c r="AF90" s="618">
        <f t="shared" si="12"/>
        <v>17</v>
      </c>
      <c r="AG90" s="618">
        <f t="shared" si="12"/>
        <v>15</v>
      </c>
      <c r="AI90" s="849">
        <f>Paramètres!AV155</f>
        <v>0.6</v>
      </c>
      <c r="AJ90" s="849">
        <f>Paramètres!AW155</f>
        <v>0.65</v>
      </c>
      <c r="AK90" s="849">
        <f>Paramètres!AX155</f>
        <v>1</v>
      </c>
      <c r="AY90" s="1337" t="str">
        <f t="shared" si="4"/>
        <v>Fumiers de dindes humides</v>
      </c>
      <c r="AZ90" s="1709">
        <f>AA95</f>
        <v>21</v>
      </c>
      <c r="BA90" s="1520" t="s">
        <v>801</v>
      </c>
      <c r="BC90" s="1337" t="str">
        <f>RIGHT($C$96,LEN($C$96)-7)&amp;RIGHT(D97,LEN(D97)-1)</f>
        <v xml:space="preserve"> de pintades humides sortie stockage</v>
      </c>
    </row>
    <row r="91" spans="1:60" x14ac:dyDescent="0.2">
      <c r="A91" s="1164"/>
      <c r="B91" s="691"/>
      <c r="C91" s="11"/>
      <c r="D91" s="708" t="s">
        <v>825</v>
      </c>
      <c r="E91" s="1695"/>
      <c r="F91" s="617"/>
      <c r="G91" s="617"/>
      <c r="H91" s="617"/>
      <c r="I91" s="614"/>
      <c r="J91" s="1900">
        <f t="shared" si="11"/>
        <v>0</v>
      </c>
      <c r="K91" s="1900">
        <f t="shared" si="11"/>
        <v>0</v>
      </c>
      <c r="L91" s="1901">
        <f t="shared" si="11"/>
        <v>0</v>
      </c>
      <c r="M91" s="1164"/>
      <c r="N91" s="1498"/>
      <c r="O91" s="1498"/>
      <c r="P91" s="1498"/>
      <c r="Q91" s="1498"/>
      <c r="R91" s="1498"/>
      <c r="S91" s="1498"/>
      <c r="T91" s="1498"/>
      <c r="U91" s="1498"/>
      <c r="V91" s="1498"/>
      <c r="W91" s="1498"/>
      <c r="X91" s="1498"/>
      <c r="Y91" s="1498"/>
      <c r="Z91" s="1498"/>
      <c r="AA91" s="1104">
        <f>Paramètres!AR156</f>
        <v>15</v>
      </c>
      <c r="AB91" s="1104">
        <f>Paramètres!AS156</f>
        <v>17</v>
      </c>
      <c r="AC91" s="1104">
        <f>Paramètres!AT156</f>
        <v>14</v>
      </c>
      <c r="AE91" s="618">
        <f t="shared" si="12"/>
        <v>15</v>
      </c>
      <c r="AF91" s="618">
        <f t="shared" si="12"/>
        <v>17</v>
      </c>
      <c r="AG91" s="618">
        <f t="shared" si="12"/>
        <v>14</v>
      </c>
      <c r="AI91" s="849">
        <f>Paramètres!AV156</f>
        <v>0.6</v>
      </c>
      <c r="AJ91" s="849">
        <f>Paramètres!AW156</f>
        <v>0.65</v>
      </c>
      <c r="AK91" s="849">
        <f>Paramètres!AX156</f>
        <v>1</v>
      </c>
      <c r="AY91" s="1337" t="str">
        <f t="shared" si="4"/>
        <v>Fumiers de pintades humides sortie stockage</v>
      </c>
      <c r="AZ91" s="1709">
        <f>AA97</f>
        <v>32</v>
      </c>
      <c r="BA91" s="1520" t="s">
        <v>801</v>
      </c>
      <c r="BC91" s="1337" t="str">
        <f>RIGHT($C$96,LEN($C$96)-7)&amp;RIGHT(D98,LEN(D98)-1)</f>
        <v xml:space="preserve"> de pintades séchés en hangar</v>
      </c>
    </row>
    <row r="92" spans="1:60" x14ac:dyDescent="0.2">
      <c r="A92" s="1164"/>
      <c r="B92" s="691"/>
      <c r="C92" s="11" t="s">
        <v>813</v>
      </c>
      <c r="D92" s="614"/>
      <c r="E92" s="1696"/>
      <c r="F92" s="614"/>
      <c r="G92" s="614"/>
      <c r="H92" s="614"/>
      <c r="I92" s="614"/>
      <c r="J92" s="1881"/>
      <c r="K92" s="1881"/>
      <c r="L92" s="1880"/>
      <c r="M92" s="1164"/>
      <c r="N92" s="1498"/>
      <c r="O92" s="1498"/>
      <c r="P92" s="1498"/>
      <c r="Q92" s="1498"/>
      <c r="R92" s="1498"/>
      <c r="S92" s="1498"/>
      <c r="T92" s="1498"/>
      <c r="U92" s="1498"/>
      <c r="V92" s="1498"/>
      <c r="W92" s="1498"/>
      <c r="X92" s="1498"/>
      <c r="Y92" s="1498"/>
      <c r="Z92" s="1498"/>
      <c r="AA92" s="630"/>
      <c r="AB92" s="630"/>
      <c r="AC92" s="630"/>
      <c r="AI92" s="709"/>
      <c r="AJ92" s="709"/>
      <c r="AK92" s="709"/>
      <c r="AY92" s="1337" t="str">
        <f t="shared" si="4"/>
        <v>Fumiers de pintades séchés en hangar</v>
      </c>
      <c r="AZ92" s="1709">
        <f>AA98</f>
        <v>29</v>
      </c>
      <c r="BA92" s="1520" t="s">
        <v>801</v>
      </c>
      <c r="BC92" s="1337" t="str">
        <f>RIGHT($C$96,LEN($C$96)-7)&amp;RIGHT(D99,LEN(D99)-1)</f>
        <v xml:space="preserve"> de pintades humides</v>
      </c>
    </row>
    <row r="93" spans="1:60" x14ac:dyDescent="0.2">
      <c r="A93" s="1164"/>
      <c r="B93" s="691"/>
      <c r="C93" s="11"/>
      <c r="D93" s="1328" t="s">
        <v>975</v>
      </c>
      <c r="E93" s="1695"/>
      <c r="F93" s="617"/>
      <c r="G93" s="617"/>
      <c r="H93" s="617"/>
      <c r="I93" s="614"/>
      <c r="J93" s="1900">
        <f t="shared" ref="J93:L95" si="13">$E93*AE93*AI93</f>
        <v>0</v>
      </c>
      <c r="K93" s="1900">
        <f t="shared" si="13"/>
        <v>0</v>
      </c>
      <c r="L93" s="1901">
        <f t="shared" si="13"/>
        <v>0</v>
      </c>
      <c r="M93" s="1164"/>
      <c r="N93" s="1498"/>
      <c r="O93" s="1498"/>
      <c r="P93" s="1498"/>
      <c r="Q93" s="1498"/>
      <c r="R93" s="1498"/>
      <c r="S93" s="1498"/>
      <c r="T93" s="1498"/>
      <c r="U93" s="1498"/>
      <c r="V93" s="1498"/>
      <c r="W93" s="1498"/>
      <c r="X93" s="1498"/>
      <c r="Y93" s="1498"/>
      <c r="Z93" s="1498"/>
      <c r="AA93" s="1104">
        <f>Paramètres!AR158</f>
        <v>26</v>
      </c>
      <c r="AB93" s="1104">
        <f>Paramètres!AS158</f>
        <v>20</v>
      </c>
      <c r="AC93" s="1104">
        <f>Paramètres!AT158</f>
        <v>18</v>
      </c>
      <c r="AE93" s="618">
        <f t="shared" si="5"/>
        <v>26</v>
      </c>
      <c r="AF93" s="618">
        <f t="shared" si="6"/>
        <v>20</v>
      </c>
      <c r="AG93" s="618">
        <f t="shared" si="7"/>
        <v>18</v>
      </c>
      <c r="AI93" s="849">
        <f>Paramètres!AV158</f>
        <v>0.6</v>
      </c>
      <c r="AJ93" s="849">
        <f>Paramètres!AW158</f>
        <v>0.65</v>
      </c>
      <c r="AK93" s="849">
        <f>Paramètres!AX158</f>
        <v>1</v>
      </c>
      <c r="AY93" s="1337" t="str">
        <f t="shared" si="4"/>
        <v>Fumiers de pintades humides</v>
      </c>
      <c r="AZ93" s="1709">
        <f>AA99</f>
        <v>24</v>
      </c>
      <c r="BA93" s="1520" t="s">
        <v>801</v>
      </c>
      <c r="BC93" s="1337" t="str">
        <f>RIGHT($C$100,LEN($C$100)-7)</f>
        <v xml:space="preserve"> de lapin</v>
      </c>
    </row>
    <row r="94" spans="1:60" x14ac:dyDescent="0.2">
      <c r="A94" s="1164"/>
      <c r="B94" s="691"/>
      <c r="C94" s="11"/>
      <c r="D94" s="708" t="s">
        <v>811</v>
      </c>
      <c r="E94" s="1695"/>
      <c r="F94" s="617"/>
      <c r="G94" s="617"/>
      <c r="H94" s="617"/>
      <c r="I94" s="614"/>
      <c r="J94" s="1900">
        <f t="shared" si="13"/>
        <v>0</v>
      </c>
      <c r="K94" s="1900">
        <f t="shared" si="13"/>
        <v>0</v>
      </c>
      <c r="L94" s="1901">
        <f t="shared" si="13"/>
        <v>0</v>
      </c>
      <c r="M94" s="1164"/>
      <c r="N94" s="1498"/>
      <c r="O94" s="1498"/>
      <c r="P94" s="1498"/>
      <c r="Q94" s="1498"/>
      <c r="R94" s="1498"/>
      <c r="S94" s="1498"/>
      <c r="T94" s="1498"/>
      <c r="U94" s="1498"/>
      <c r="V94" s="1498"/>
      <c r="W94" s="1498"/>
      <c r="X94" s="1498"/>
      <c r="Y94" s="1498"/>
      <c r="Z94" s="1498"/>
      <c r="AA94" s="1104">
        <f>Paramètres!AR159</f>
        <v>46</v>
      </c>
      <c r="AB94" s="1104">
        <f>Paramètres!AS159</f>
        <v>41</v>
      </c>
      <c r="AC94" s="1104">
        <f>Paramètres!AT159</f>
        <v>45</v>
      </c>
      <c r="AE94" s="618">
        <f t="shared" si="5"/>
        <v>46</v>
      </c>
      <c r="AF94" s="618">
        <f t="shared" si="6"/>
        <v>41</v>
      </c>
      <c r="AG94" s="618">
        <f t="shared" si="7"/>
        <v>45</v>
      </c>
      <c r="AI94" s="849">
        <f>Paramètres!AV159</f>
        <v>0.6</v>
      </c>
      <c r="AJ94" s="849">
        <f>Paramètres!AW159</f>
        <v>0.65</v>
      </c>
      <c r="AK94" s="849">
        <f>Paramètres!AX159</f>
        <v>1</v>
      </c>
      <c r="AY94" s="1337" t="str">
        <f t="shared" si="4"/>
        <v>Fumiers de lapin</v>
      </c>
      <c r="AZ94" s="1709">
        <f>AA100</f>
        <v>7</v>
      </c>
      <c r="BA94" s="1520" t="s">
        <v>801</v>
      </c>
      <c r="BC94" s="2145" t="str">
        <f>BC71</f>
        <v>Fumiers</v>
      </c>
      <c r="BD94" s="2145" t="str">
        <f t="shared" ref="BD94:BH94" si="14">BD71</f>
        <v>Composts</v>
      </c>
      <c r="BE94" s="2145" t="str">
        <f t="shared" si="14"/>
        <v>Lisiers</v>
      </c>
      <c r="BF94" s="2145" t="str">
        <f t="shared" si="14"/>
        <v>Co-produits de traitement des lisiers porcins</v>
      </c>
      <c r="BG94" s="2145" t="str">
        <f t="shared" si="14"/>
        <v>Digesta de méthanisation</v>
      </c>
      <c r="BH94" s="2145" t="str">
        <f t="shared" si="14"/>
        <v>Boues d'épuration</v>
      </c>
    </row>
    <row r="95" spans="1:60" x14ac:dyDescent="0.2">
      <c r="A95" s="1164"/>
      <c r="B95" s="691"/>
      <c r="C95" s="11"/>
      <c r="D95" s="708" t="s">
        <v>825</v>
      </c>
      <c r="E95" s="1695"/>
      <c r="F95" s="617"/>
      <c r="G95" s="617"/>
      <c r="H95" s="617"/>
      <c r="I95" s="614"/>
      <c r="J95" s="1900">
        <f t="shared" si="13"/>
        <v>0</v>
      </c>
      <c r="K95" s="1900">
        <f t="shared" si="13"/>
        <v>0</v>
      </c>
      <c r="L95" s="1901">
        <f t="shared" si="13"/>
        <v>0</v>
      </c>
      <c r="M95" s="1164"/>
      <c r="N95" s="1498"/>
      <c r="O95" s="1498"/>
      <c r="P95" s="1498"/>
      <c r="Q95" s="1498"/>
      <c r="R95" s="1498"/>
      <c r="S95" s="1498"/>
      <c r="T95" s="1498"/>
      <c r="U95" s="1498"/>
      <c r="V95" s="1498"/>
      <c r="W95" s="1498"/>
      <c r="X95" s="1498"/>
      <c r="Y95" s="1498"/>
      <c r="Z95" s="1498"/>
      <c r="AA95" s="1104">
        <f>Paramètres!AR160</f>
        <v>21</v>
      </c>
      <c r="AB95" s="1104">
        <f>Paramètres!AS160</f>
        <v>23</v>
      </c>
      <c r="AC95" s="1104">
        <f>Paramètres!AT160</f>
        <v>15</v>
      </c>
      <c r="AE95" s="618">
        <f t="shared" si="5"/>
        <v>21</v>
      </c>
      <c r="AF95" s="618">
        <f t="shared" si="6"/>
        <v>23</v>
      </c>
      <c r="AG95" s="618">
        <f t="shared" si="7"/>
        <v>15</v>
      </c>
      <c r="AI95" s="849">
        <f>Paramètres!AV160</f>
        <v>0.6</v>
      </c>
      <c r="AJ95" s="849">
        <f>Paramètres!AW160</f>
        <v>0.65</v>
      </c>
      <c r="AK95" s="849">
        <f>Paramètres!AX160</f>
        <v>1</v>
      </c>
      <c r="AY95" s="1337" t="str">
        <f>BB$73&amp;BD72</f>
        <v>Composts fumiers de bovins mixtes</v>
      </c>
      <c r="AZ95" s="1709">
        <f>AA102</f>
        <v>8</v>
      </c>
      <c r="BA95" s="1520" t="s">
        <v>801</v>
      </c>
      <c r="BC95" s="2143" t="s">
        <v>801</v>
      </c>
      <c r="BD95" s="2143" t="s">
        <v>801</v>
      </c>
      <c r="BE95" s="2144" t="s">
        <v>2303</v>
      </c>
      <c r="BF95" s="2143" t="s">
        <v>801</v>
      </c>
      <c r="BG95" s="2144" t="s">
        <v>2303</v>
      </c>
      <c r="BH95" s="2144" t="s">
        <v>2303</v>
      </c>
    </row>
    <row r="96" spans="1:60" x14ac:dyDescent="0.2">
      <c r="A96" s="1164"/>
      <c r="B96" s="691"/>
      <c r="C96" s="11" t="s">
        <v>814</v>
      </c>
      <c r="D96" s="614"/>
      <c r="E96" s="1696"/>
      <c r="F96" s="614"/>
      <c r="G96" s="614"/>
      <c r="H96" s="614"/>
      <c r="I96" s="614"/>
      <c r="J96" s="1881"/>
      <c r="K96" s="1881"/>
      <c r="L96" s="1880"/>
      <c r="M96" s="1164"/>
      <c r="N96" s="1498"/>
      <c r="O96" s="1498"/>
      <c r="P96" s="1498"/>
      <c r="Q96" s="1498"/>
      <c r="R96" s="1498"/>
      <c r="S96" s="1498"/>
      <c r="T96" s="1498"/>
      <c r="U96" s="1498"/>
      <c r="V96" s="1498"/>
      <c r="W96" s="1498"/>
      <c r="X96" s="1498"/>
      <c r="Y96" s="1498"/>
      <c r="Z96" s="1498"/>
      <c r="AA96" s="630"/>
      <c r="AB96" s="630"/>
      <c r="AC96" s="630"/>
      <c r="AI96" s="709"/>
      <c r="AJ96" s="709"/>
      <c r="AK96" s="709"/>
      <c r="AY96" s="1337" t="str">
        <f t="shared" ref="AY96:AY101" si="15">BB$73&amp;BD73</f>
        <v>Composts fumiers d'ovins</v>
      </c>
      <c r="AZ96" s="1709">
        <f>AA103</f>
        <v>11.5</v>
      </c>
      <c r="BA96" s="1520" t="s">
        <v>801</v>
      </c>
      <c r="BC96" s="2143" t="s">
        <v>801</v>
      </c>
      <c r="BD96" s="2143" t="s">
        <v>801</v>
      </c>
      <c r="BE96" s="2144" t="s">
        <v>2303</v>
      </c>
      <c r="BF96" s="2143" t="s">
        <v>801</v>
      </c>
      <c r="BG96" s="2143" t="s">
        <v>801</v>
      </c>
      <c r="BH96" s="2144" t="s">
        <v>2303</v>
      </c>
    </row>
    <row r="97" spans="1:60" x14ac:dyDescent="0.2">
      <c r="A97" s="1164"/>
      <c r="B97" s="691"/>
      <c r="C97" s="11"/>
      <c r="D97" s="1328" t="s">
        <v>975</v>
      </c>
      <c r="E97" s="1695"/>
      <c r="F97" s="617"/>
      <c r="G97" s="617"/>
      <c r="H97" s="617"/>
      <c r="I97" s="614"/>
      <c r="J97" s="1900">
        <f t="shared" ref="J97:L99" si="16">$E97*AE97*AI97</f>
        <v>0</v>
      </c>
      <c r="K97" s="1900">
        <f t="shared" si="16"/>
        <v>0</v>
      </c>
      <c r="L97" s="1901">
        <f t="shared" si="16"/>
        <v>0</v>
      </c>
      <c r="M97" s="1164"/>
      <c r="N97" s="1498"/>
      <c r="O97" s="1498"/>
      <c r="P97" s="1498"/>
      <c r="Q97" s="1498"/>
      <c r="R97" s="1498"/>
      <c r="S97" s="1498"/>
      <c r="T97" s="1498"/>
      <c r="U97" s="1498"/>
      <c r="V97" s="1498"/>
      <c r="W97" s="1498"/>
      <c r="X97" s="1498"/>
      <c r="Y97" s="1498"/>
      <c r="Z97" s="1498"/>
      <c r="AA97" s="1104">
        <f>Paramètres!AR162</f>
        <v>32</v>
      </c>
      <c r="AB97" s="1104">
        <f>Paramètres!AS162</f>
        <v>25</v>
      </c>
      <c r="AC97" s="1104">
        <f>Paramètres!AT162</f>
        <v>20</v>
      </c>
      <c r="AE97" s="618">
        <f t="shared" si="5"/>
        <v>32</v>
      </c>
      <c r="AF97" s="618">
        <f t="shared" si="6"/>
        <v>25</v>
      </c>
      <c r="AG97" s="618">
        <f t="shared" si="7"/>
        <v>20</v>
      </c>
      <c r="AI97" s="849">
        <f>Paramètres!AV162</f>
        <v>0.7</v>
      </c>
      <c r="AJ97" s="849">
        <f>Paramètres!AW162</f>
        <v>0.65</v>
      </c>
      <c r="AK97" s="849">
        <f>Paramètres!AX162</f>
        <v>1</v>
      </c>
      <c r="AY97" s="1337" t="str">
        <f t="shared" si="15"/>
        <v>Composts fumiers de porc sur paille</v>
      </c>
      <c r="AZ97" s="1709">
        <f>AA105</f>
        <v>13</v>
      </c>
      <c r="BA97" s="1520" t="s">
        <v>801</v>
      </c>
      <c r="BC97" s="2143" t="s">
        <v>801</v>
      </c>
      <c r="BD97" s="2143" t="s">
        <v>801</v>
      </c>
      <c r="BE97" s="2144" t="s">
        <v>2303</v>
      </c>
      <c r="BF97" s="2144" t="s">
        <v>2303</v>
      </c>
      <c r="BG97" s="2143" t="s">
        <v>801</v>
      </c>
      <c r="BH97" s="2143" t="s">
        <v>801</v>
      </c>
    </row>
    <row r="98" spans="1:60" x14ac:dyDescent="0.2">
      <c r="A98" s="1164"/>
      <c r="B98" s="691"/>
      <c r="C98" s="11"/>
      <c r="D98" s="708" t="s">
        <v>811</v>
      </c>
      <c r="E98" s="1695"/>
      <c r="F98" s="617"/>
      <c r="G98" s="617"/>
      <c r="H98" s="617"/>
      <c r="I98" s="614"/>
      <c r="J98" s="1900">
        <f t="shared" si="16"/>
        <v>0</v>
      </c>
      <c r="K98" s="1900">
        <f t="shared" si="16"/>
        <v>0</v>
      </c>
      <c r="L98" s="1901">
        <f t="shared" si="16"/>
        <v>0</v>
      </c>
      <c r="M98" s="1164"/>
      <c r="N98" s="1498"/>
      <c r="O98" s="1498"/>
      <c r="P98" s="1498"/>
      <c r="Q98" s="1498"/>
      <c r="R98" s="1498"/>
      <c r="S98" s="1498"/>
      <c r="T98" s="1498"/>
      <c r="U98" s="1498"/>
      <c r="V98" s="1498"/>
      <c r="W98" s="1498"/>
      <c r="X98" s="1498"/>
      <c r="Y98" s="1498"/>
      <c r="Z98" s="1498"/>
      <c r="AA98" s="1104">
        <f>Paramètres!AR163</f>
        <v>29</v>
      </c>
      <c r="AB98" s="1104">
        <f>Paramètres!AS163</f>
        <v>24</v>
      </c>
      <c r="AC98" s="1104">
        <f>Paramètres!AT163</f>
        <v>19</v>
      </c>
      <c r="AE98" s="618">
        <f t="shared" si="5"/>
        <v>29</v>
      </c>
      <c r="AF98" s="618">
        <f t="shared" si="6"/>
        <v>24</v>
      </c>
      <c r="AG98" s="618">
        <f t="shared" si="7"/>
        <v>19</v>
      </c>
      <c r="AI98" s="849">
        <f>Paramètres!AV163</f>
        <v>0.7</v>
      </c>
      <c r="AJ98" s="849">
        <f>Paramètres!AW163</f>
        <v>0.65</v>
      </c>
      <c r="AK98" s="849">
        <f>Paramètres!AX163</f>
        <v>1</v>
      </c>
      <c r="AY98" s="1337" t="str">
        <f t="shared" si="15"/>
        <v>Composts fumiers de porc sur sciure ou copeaux</v>
      </c>
      <c r="AZ98" s="1709">
        <f>AA106</f>
        <v>8.5</v>
      </c>
      <c r="BA98" s="1520" t="s">
        <v>801</v>
      </c>
      <c r="BC98" s="2143" t="s">
        <v>801</v>
      </c>
      <c r="BD98" s="2143" t="s">
        <v>801</v>
      </c>
      <c r="BE98" s="2144" t="s">
        <v>2303</v>
      </c>
      <c r="BF98" s="2143" t="s">
        <v>801</v>
      </c>
    </row>
    <row r="99" spans="1:60" x14ac:dyDescent="0.2">
      <c r="A99" s="1164"/>
      <c r="B99" s="691"/>
      <c r="C99" s="11"/>
      <c r="D99" s="708" t="s">
        <v>825</v>
      </c>
      <c r="E99" s="1695"/>
      <c r="F99" s="617"/>
      <c r="G99" s="617"/>
      <c r="H99" s="617"/>
      <c r="I99" s="614"/>
      <c r="J99" s="1900">
        <f t="shared" si="16"/>
        <v>0</v>
      </c>
      <c r="K99" s="1900">
        <f t="shared" si="16"/>
        <v>0</v>
      </c>
      <c r="L99" s="1901">
        <f t="shared" si="16"/>
        <v>0</v>
      </c>
      <c r="M99" s="1164"/>
      <c r="N99" s="1498"/>
      <c r="O99" s="1498"/>
      <c r="P99" s="1498"/>
      <c r="Q99" s="1498"/>
      <c r="R99" s="1498"/>
      <c r="S99" s="1498"/>
      <c r="T99" s="1498"/>
      <c r="U99" s="1498"/>
      <c r="V99" s="1498"/>
      <c r="W99" s="1498"/>
      <c r="X99" s="1498"/>
      <c r="Y99" s="1498"/>
      <c r="Z99" s="1498"/>
      <c r="AA99" s="1104">
        <f>Paramètres!AR164</f>
        <v>24</v>
      </c>
      <c r="AB99" s="1104">
        <f>Paramètres!AS164</f>
        <v>22</v>
      </c>
      <c r="AC99" s="1104">
        <f>Paramètres!AT164</f>
        <v>15</v>
      </c>
      <c r="AE99" s="618">
        <f t="shared" si="5"/>
        <v>24</v>
      </c>
      <c r="AF99" s="618">
        <f t="shared" si="6"/>
        <v>22</v>
      </c>
      <c r="AG99" s="618">
        <f t="shared" si="7"/>
        <v>15</v>
      </c>
      <c r="AI99" s="849">
        <f>Paramètres!AV164</f>
        <v>0.7</v>
      </c>
      <c r="AJ99" s="849">
        <f>Paramètres!AW164</f>
        <v>0.65</v>
      </c>
      <c r="AK99" s="849">
        <f>Paramètres!AX164</f>
        <v>1</v>
      </c>
      <c r="AY99" s="1337" t="str">
        <f t="shared" si="15"/>
        <v>Composts lisier porc + paille</v>
      </c>
      <c r="AZ99" s="1709">
        <f>AA107</f>
        <v>7.5</v>
      </c>
      <c r="BA99" s="1520" t="s">
        <v>801</v>
      </c>
      <c r="BC99" s="2143" t="s">
        <v>801</v>
      </c>
      <c r="BD99" s="2143" t="s">
        <v>801</v>
      </c>
      <c r="BE99" s="2144" t="s">
        <v>2303</v>
      </c>
      <c r="BF99" s="2144" t="s">
        <v>2303</v>
      </c>
    </row>
    <row r="100" spans="1:60" x14ac:dyDescent="0.2">
      <c r="A100" s="1164"/>
      <c r="B100" s="1965"/>
      <c r="C100" s="11" t="s">
        <v>1901</v>
      </c>
      <c r="D100" s="708"/>
      <c r="E100" s="1695"/>
      <c r="F100" s="617"/>
      <c r="G100" s="617"/>
      <c r="H100" s="617"/>
      <c r="I100" s="1950"/>
      <c r="J100" s="1900">
        <f>$E100*AE100*AI100</f>
        <v>0</v>
      </c>
      <c r="K100" s="1900">
        <f>$E100*AF100*AJ100</f>
        <v>0</v>
      </c>
      <c r="L100" s="1901">
        <f>$E100*AG100*AK100</f>
        <v>0</v>
      </c>
      <c r="M100" s="1164"/>
      <c r="N100" s="1498"/>
      <c r="O100" s="1498"/>
      <c r="P100" s="1498"/>
      <c r="Q100" s="1498"/>
      <c r="R100" s="1498"/>
      <c r="S100" s="1498"/>
      <c r="T100" s="1498"/>
      <c r="U100" s="1498"/>
      <c r="V100" s="1498"/>
      <c r="W100" s="1498"/>
      <c r="X100" s="1498"/>
      <c r="Y100" s="1498"/>
      <c r="Z100" s="1498"/>
      <c r="AA100" s="1104">
        <f>Paramètres!AR165</f>
        <v>7</v>
      </c>
      <c r="AB100" s="1104">
        <f>Paramètres!AS165</f>
        <v>7</v>
      </c>
      <c r="AC100" s="1104">
        <f>Paramètres!AT165</f>
        <v>10</v>
      </c>
      <c r="AE100" s="1953">
        <f>IF(ISBLANK(F100),AA100,F100)</f>
        <v>7</v>
      </c>
      <c r="AF100" s="1953">
        <f>IF(ISBLANK(G100),AB100,G100)</f>
        <v>7</v>
      </c>
      <c r="AG100" s="1953">
        <f>IF(ISBLANK(H100),AC100,H100)</f>
        <v>10</v>
      </c>
      <c r="AI100" s="849">
        <f>Paramètres!AV165</f>
        <v>0.15</v>
      </c>
      <c r="AJ100" s="849">
        <f>Paramètres!AW165</f>
        <v>0.65</v>
      </c>
      <c r="AK100" s="849">
        <f>Paramètres!AX165</f>
        <v>1</v>
      </c>
      <c r="AY100" s="1337" t="str">
        <f t="shared" si="15"/>
        <v>Composts fumiers de volailles (sf dindes)</v>
      </c>
      <c r="AZ100" s="1709">
        <f>AA108</f>
        <v>23</v>
      </c>
      <c r="BA100" s="1520" t="s">
        <v>801</v>
      </c>
      <c r="BC100" s="2143" t="s">
        <v>801</v>
      </c>
      <c r="BD100" s="2143" t="s">
        <v>801</v>
      </c>
      <c r="BE100" s="2144" t="s">
        <v>2303</v>
      </c>
    </row>
    <row r="101" spans="1:60" x14ac:dyDescent="0.2">
      <c r="A101" s="1164"/>
      <c r="B101" s="691" t="s">
        <v>815</v>
      </c>
      <c r="C101" s="614"/>
      <c r="D101" s="614"/>
      <c r="E101" s="1696"/>
      <c r="F101" s="614"/>
      <c r="G101" s="614"/>
      <c r="H101" s="614"/>
      <c r="I101" s="614"/>
      <c r="J101" s="1881"/>
      <c r="K101" s="1881"/>
      <c r="L101" s="1880"/>
      <c r="M101" s="1164"/>
      <c r="N101" s="1498"/>
      <c r="O101" s="1498"/>
      <c r="P101" s="1498"/>
      <c r="Q101" s="1498"/>
      <c r="R101" s="1498"/>
      <c r="S101" s="1498"/>
      <c r="T101" s="1498"/>
      <c r="U101" s="1498"/>
      <c r="V101" s="1498"/>
      <c r="W101" s="1498"/>
      <c r="X101" s="1498"/>
      <c r="Y101" s="1498"/>
      <c r="Z101" s="1498"/>
      <c r="AA101" s="630"/>
      <c r="AB101" s="630"/>
      <c r="AC101" s="630"/>
      <c r="AI101" s="709"/>
      <c r="AJ101" s="709"/>
      <c r="AK101" s="709"/>
      <c r="AY101" s="1337" t="str">
        <f t="shared" si="15"/>
        <v>Composts fumiers de dindes</v>
      </c>
      <c r="AZ101" s="1709">
        <f>AA109</f>
        <v>30</v>
      </c>
      <c r="BA101" s="1520" t="s">
        <v>801</v>
      </c>
      <c r="BC101" s="2143" t="s">
        <v>801</v>
      </c>
      <c r="BD101" s="2143" t="s">
        <v>801</v>
      </c>
      <c r="BE101" s="2144" t="s">
        <v>2303</v>
      </c>
    </row>
    <row r="102" spans="1:60" x14ac:dyDescent="0.2">
      <c r="A102" s="1164"/>
      <c r="B102" s="691"/>
      <c r="C102" s="11" t="s">
        <v>886</v>
      </c>
      <c r="D102" s="614"/>
      <c r="E102" s="1695"/>
      <c r="F102" s="617"/>
      <c r="G102" s="617"/>
      <c r="H102" s="617"/>
      <c r="I102" s="614"/>
      <c r="J102" s="1900">
        <f t="shared" ref="J102:L103" si="17">$E102*AE102*AI102</f>
        <v>0</v>
      </c>
      <c r="K102" s="1900">
        <f t="shared" si="17"/>
        <v>0</v>
      </c>
      <c r="L102" s="1901">
        <f t="shared" si="17"/>
        <v>0</v>
      </c>
      <c r="M102" s="1164"/>
      <c r="N102" s="1498"/>
      <c r="O102" s="1498"/>
      <c r="P102" s="1498"/>
      <c r="Q102" s="1498"/>
      <c r="R102" s="1498"/>
      <c r="S102" s="1498"/>
      <c r="T102" s="1498"/>
      <c r="U102" s="1498"/>
      <c r="V102" s="1498"/>
      <c r="W102" s="1498"/>
      <c r="X102" s="1498"/>
      <c r="Y102" s="1498"/>
      <c r="Z102" s="1498"/>
      <c r="AA102" s="1104">
        <f>Paramètres!AR167</f>
        <v>8</v>
      </c>
      <c r="AB102" s="1104">
        <f>Paramètres!AS167</f>
        <v>5</v>
      </c>
      <c r="AC102" s="1104">
        <f>Paramètres!AT167</f>
        <v>14</v>
      </c>
      <c r="AE102" s="618">
        <f t="shared" si="5"/>
        <v>8</v>
      </c>
      <c r="AF102" s="618">
        <f t="shared" si="6"/>
        <v>5</v>
      </c>
      <c r="AG102" s="618">
        <f t="shared" si="7"/>
        <v>14</v>
      </c>
      <c r="AI102" s="849">
        <f>Paramètres!AV167</f>
        <v>0.15</v>
      </c>
      <c r="AJ102" s="849">
        <f>Paramètres!AW167</f>
        <v>0.85</v>
      </c>
      <c r="AK102" s="849">
        <f>Paramètres!AX167</f>
        <v>1</v>
      </c>
      <c r="AY102" s="1337" t="str">
        <f>BB$74&amp;BE72</f>
        <v>Lisiers bovins mixtes et couverts</v>
      </c>
      <c r="AZ102" s="1709">
        <f>AA115</f>
        <v>4</v>
      </c>
      <c r="BA102" s="1520" t="s">
        <v>2303</v>
      </c>
      <c r="BC102" s="2143" t="s">
        <v>801</v>
      </c>
      <c r="BE102" s="2144" t="s">
        <v>2303</v>
      </c>
    </row>
    <row r="103" spans="1:60" x14ac:dyDescent="0.2">
      <c r="A103" s="1164"/>
      <c r="B103" s="691"/>
      <c r="C103" s="11" t="s">
        <v>887</v>
      </c>
      <c r="D103" s="614"/>
      <c r="E103" s="1695"/>
      <c r="F103" s="617"/>
      <c r="G103" s="617"/>
      <c r="H103" s="617"/>
      <c r="I103" s="614"/>
      <c r="J103" s="1900">
        <f t="shared" si="17"/>
        <v>0</v>
      </c>
      <c r="K103" s="1900">
        <f t="shared" si="17"/>
        <v>0</v>
      </c>
      <c r="L103" s="1901">
        <f t="shared" si="17"/>
        <v>0</v>
      </c>
      <c r="M103" s="1164"/>
      <c r="N103" s="1498"/>
      <c r="O103" s="1498"/>
      <c r="P103" s="1498"/>
      <c r="Q103" s="1498"/>
      <c r="R103" s="1498"/>
      <c r="S103" s="1498"/>
      <c r="T103" s="1498"/>
      <c r="U103" s="1498"/>
      <c r="V103" s="1498"/>
      <c r="W103" s="1498"/>
      <c r="X103" s="1498"/>
      <c r="Y103" s="1498"/>
      <c r="Z103" s="1498"/>
      <c r="AA103" s="1104">
        <f>Paramètres!AR168</f>
        <v>11.5</v>
      </c>
      <c r="AB103" s="1104">
        <f>Paramètres!AS168</f>
        <v>7</v>
      </c>
      <c r="AC103" s="1104">
        <f>Paramètres!AT168</f>
        <v>23</v>
      </c>
      <c r="AE103" s="618">
        <f t="shared" si="5"/>
        <v>11.5</v>
      </c>
      <c r="AF103" s="618">
        <f t="shared" si="6"/>
        <v>7</v>
      </c>
      <c r="AG103" s="618">
        <f t="shared" si="7"/>
        <v>23</v>
      </c>
      <c r="AI103" s="849">
        <f>Paramètres!AV168</f>
        <v>0.15</v>
      </c>
      <c r="AJ103" s="849">
        <f>Paramètres!AW168</f>
        <v>0.85</v>
      </c>
      <c r="AK103" s="849">
        <f>Paramètres!AX168</f>
        <v>1</v>
      </c>
      <c r="AY103" s="1337" t="str">
        <f t="shared" ref="AY103:AY111" si="18">BB$74&amp;BE73</f>
        <v>Lisiers bovins à l'engrais couverts</v>
      </c>
      <c r="AZ103" s="1709">
        <f>AA116</f>
        <v>5.2</v>
      </c>
      <c r="BA103" s="1520" t="s">
        <v>2303</v>
      </c>
      <c r="BC103" s="2143" t="s">
        <v>801</v>
      </c>
      <c r="BE103" s="2144" t="s">
        <v>2303</v>
      </c>
    </row>
    <row r="104" spans="1:60" x14ac:dyDescent="0.2">
      <c r="A104" s="1164"/>
      <c r="B104" s="691"/>
      <c r="C104" s="11" t="s">
        <v>888</v>
      </c>
      <c r="D104" s="614"/>
      <c r="E104" s="1696"/>
      <c r="F104" s="614"/>
      <c r="G104" s="614"/>
      <c r="H104" s="614"/>
      <c r="I104" s="614"/>
      <c r="J104" s="1881"/>
      <c r="K104" s="1881"/>
      <c r="L104" s="1880"/>
      <c r="M104" s="1164"/>
      <c r="N104" s="1498"/>
      <c r="O104" s="1498"/>
      <c r="P104" s="1498"/>
      <c r="Q104" s="1498"/>
      <c r="R104" s="1498"/>
      <c r="S104" s="1498"/>
      <c r="T104" s="1498"/>
      <c r="U104" s="1498"/>
      <c r="V104" s="1498"/>
      <c r="W104" s="1498"/>
      <c r="X104" s="1498"/>
      <c r="Y104" s="1498"/>
      <c r="Z104" s="1498"/>
      <c r="AA104" s="630"/>
      <c r="AB104" s="630"/>
      <c r="AC104" s="630"/>
      <c r="AI104" s="709"/>
      <c r="AJ104" s="709"/>
      <c r="AK104" s="709"/>
      <c r="AY104" s="1337" t="str">
        <f t="shared" si="18"/>
        <v>Lisiers bovins dilués et couverts</v>
      </c>
      <c r="AZ104" s="1709">
        <f>AA117</f>
        <v>2.8</v>
      </c>
      <c r="BA104" s="1520" t="s">
        <v>2303</v>
      </c>
      <c r="BC104" s="2143" t="s">
        <v>801</v>
      </c>
      <c r="BE104" s="2144" t="s">
        <v>2303</v>
      </c>
    </row>
    <row r="105" spans="1:60" x14ac:dyDescent="0.2">
      <c r="A105" s="1164"/>
      <c r="B105" s="691"/>
      <c r="C105" s="11"/>
      <c r="D105" s="708" t="s">
        <v>807</v>
      </c>
      <c r="E105" s="1695"/>
      <c r="F105" s="617"/>
      <c r="G105" s="617"/>
      <c r="H105" s="617"/>
      <c r="I105" s="614"/>
      <c r="J105" s="1900">
        <f t="shared" ref="J105:L109" si="19">$E105*AE105*AI105</f>
        <v>0</v>
      </c>
      <c r="K105" s="1900">
        <f t="shared" si="19"/>
        <v>0</v>
      </c>
      <c r="L105" s="1901">
        <f t="shared" si="19"/>
        <v>0</v>
      </c>
      <c r="M105" s="1164"/>
      <c r="N105" s="1498"/>
      <c r="O105" s="1498"/>
      <c r="P105" s="1498"/>
      <c r="Q105" s="1498"/>
      <c r="R105" s="1498"/>
      <c r="S105" s="1498"/>
      <c r="T105" s="1498"/>
      <c r="U105" s="1498"/>
      <c r="V105" s="1498"/>
      <c r="W105" s="1498"/>
      <c r="X105" s="1498"/>
      <c r="Y105" s="1498"/>
      <c r="Z105" s="1498"/>
      <c r="AA105" s="1104">
        <f>Paramètres!AR170</f>
        <v>13</v>
      </c>
      <c r="AB105" s="1104">
        <f>Paramètres!AS170</f>
        <v>18</v>
      </c>
      <c r="AC105" s="1104">
        <f>Paramètres!AT170</f>
        <v>24</v>
      </c>
      <c r="AE105" s="618">
        <f t="shared" si="5"/>
        <v>13</v>
      </c>
      <c r="AF105" s="618">
        <f t="shared" si="6"/>
        <v>18</v>
      </c>
      <c r="AG105" s="618">
        <f t="shared" si="7"/>
        <v>24</v>
      </c>
      <c r="AI105" s="849">
        <f>Paramètres!AV170</f>
        <v>0.2</v>
      </c>
      <c r="AJ105" s="849">
        <f>Paramètres!AW170</f>
        <v>0.85</v>
      </c>
      <c r="AK105" s="849">
        <f>Paramètres!AX170</f>
        <v>1</v>
      </c>
      <c r="AY105" s="1337" t="str">
        <f t="shared" si="18"/>
        <v>Lisiers bovins dilués non couverts</v>
      </c>
      <c r="AZ105" s="1709">
        <f>AA118</f>
        <v>1.6</v>
      </c>
      <c r="BA105" s="1520" t="s">
        <v>2303</v>
      </c>
      <c r="BC105" s="2143" t="s">
        <v>801</v>
      </c>
    </row>
    <row r="106" spans="1:60" x14ac:dyDescent="0.2">
      <c r="A106" s="1164"/>
      <c r="B106" s="691"/>
      <c r="C106" s="11"/>
      <c r="D106" s="708" t="s">
        <v>808</v>
      </c>
      <c r="E106" s="1695"/>
      <c r="F106" s="617"/>
      <c r="G106" s="617"/>
      <c r="H106" s="617"/>
      <c r="I106" s="614"/>
      <c r="J106" s="1900">
        <f t="shared" si="19"/>
        <v>0</v>
      </c>
      <c r="K106" s="1900">
        <f t="shared" si="19"/>
        <v>0</v>
      </c>
      <c r="L106" s="1901">
        <f t="shared" si="19"/>
        <v>0</v>
      </c>
      <c r="M106" s="1164"/>
      <c r="N106" s="1498"/>
      <c r="O106" s="1498"/>
      <c r="P106" s="1498"/>
      <c r="Q106" s="1498"/>
      <c r="R106" s="1498"/>
      <c r="S106" s="1498"/>
      <c r="T106" s="1498"/>
      <c r="U106" s="1498"/>
      <c r="V106" s="1498"/>
      <c r="W106" s="1498"/>
      <c r="X106" s="1498"/>
      <c r="Y106" s="1498"/>
      <c r="Z106" s="1498"/>
      <c r="AA106" s="1104">
        <f>Paramètres!AR171</f>
        <v>8.5</v>
      </c>
      <c r="AB106" s="1104">
        <f>Paramètres!AS171</f>
        <v>12.5</v>
      </c>
      <c r="AC106" s="1104">
        <f>Paramètres!AT171</f>
        <v>19</v>
      </c>
      <c r="AE106" s="618">
        <f t="shared" si="5"/>
        <v>8.5</v>
      </c>
      <c r="AF106" s="618">
        <f t="shared" si="6"/>
        <v>12.5</v>
      </c>
      <c r="AG106" s="618">
        <f t="shared" si="7"/>
        <v>19</v>
      </c>
      <c r="AI106" s="849">
        <f>Paramètres!AV171</f>
        <v>0.2</v>
      </c>
      <c r="AJ106" s="849">
        <f>Paramètres!AW171</f>
        <v>0.85</v>
      </c>
      <c r="AK106" s="849">
        <f>Paramètres!AX171</f>
        <v>1</v>
      </c>
      <c r="AY106" s="1337" t="str">
        <f t="shared" si="18"/>
        <v>Lisiers de porc mixtes</v>
      </c>
      <c r="AZ106" s="1709">
        <f t="shared" ref="AZ106:AZ111" si="20">AA120</f>
        <v>3.5</v>
      </c>
      <c r="BA106" s="1520" t="s">
        <v>2303</v>
      </c>
      <c r="BC106" s="2143" t="s">
        <v>801</v>
      </c>
    </row>
    <row r="107" spans="1:60" x14ac:dyDescent="0.2">
      <c r="A107" s="1164"/>
      <c r="B107" s="691"/>
      <c r="C107" s="11" t="s">
        <v>889</v>
      </c>
      <c r="D107" s="708"/>
      <c r="E107" s="1695"/>
      <c r="F107" s="617"/>
      <c r="G107" s="617"/>
      <c r="H107" s="617"/>
      <c r="I107" s="614"/>
      <c r="J107" s="1900">
        <f t="shared" si="19"/>
        <v>0</v>
      </c>
      <c r="K107" s="1900">
        <f t="shared" si="19"/>
        <v>0</v>
      </c>
      <c r="L107" s="1901">
        <f t="shared" si="19"/>
        <v>0</v>
      </c>
      <c r="M107" s="1164"/>
      <c r="N107" s="1498"/>
      <c r="O107" s="1498"/>
      <c r="P107" s="1498"/>
      <c r="Q107" s="1498"/>
      <c r="R107" s="1498"/>
      <c r="S107" s="1498"/>
      <c r="T107" s="1498"/>
      <c r="U107" s="1498"/>
      <c r="V107" s="1498"/>
      <c r="W107" s="1498"/>
      <c r="X107" s="1498"/>
      <c r="Y107" s="1498"/>
      <c r="Z107" s="1498"/>
      <c r="AA107" s="1104">
        <f>Paramètres!AR172</f>
        <v>7.5</v>
      </c>
      <c r="AB107" s="1104">
        <f>Paramètres!AS172</f>
        <v>15</v>
      </c>
      <c r="AC107" s="1104">
        <f>Paramètres!AT172</f>
        <v>10.5</v>
      </c>
      <c r="AE107" s="618">
        <f t="shared" si="5"/>
        <v>7.5</v>
      </c>
      <c r="AF107" s="618">
        <f t="shared" si="6"/>
        <v>15</v>
      </c>
      <c r="AG107" s="618">
        <f t="shared" si="7"/>
        <v>10.5</v>
      </c>
      <c r="AI107" s="849">
        <f>Paramètres!AV172</f>
        <v>0.2</v>
      </c>
      <c r="AJ107" s="849">
        <f>Paramètres!AW172</f>
        <v>0.85</v>
      </c>
      <c r="AK107" s="849">
        <f>Paramètres!AX172</f>
        <v>1</v>
      </c>
      <c r="AY107" s="1337" t="str">
        <f t="shared" si="18"/>
        <v>Lisiers de porc charcutier</v>
      </c>
      <c r="AZ107" s="1709">
        <f t="shared" si="20"/>
        <v>5.8</v>
      </c>
      <c r="BA107" s="1520" t="s">
        <v>2303</v>
      </c>
      <c r="BC107" s="2143" t="s">
        <v>801</v>
      </c>
    </row>
    <row r="108" spans="1:60" x14ac:dyDescent="0.2">
      <c r="A108" s="1164"/>
      <c r="B108" s="691"/>
      <c r="C108" s="11" t="s">
        <v>890</v>
      </c>
      <c r="D108" s="614"/>
      <c r="E108" s="1695"/>
      <c r="F108" s="617"/>
      <c r="G108" s="617"/>
      <c r="H108" s="617"/>
      <c r="I108" s="614"/>
      <c r="J108" s="1900">
        <f t="shared" si="19"/>
        <v>0</v>
      </c>
      <c r="K108" s="1900">
        <f t="shared" si="19"/>
        <v>0</v>
      </c>
      <c r="L108" s="1901">
        <f t="shared" si="19"/>
        <v>0</v>
      </c>
      <c r="M108" s="1164"/>
      <c r="N108" s="1498"/>
      <c r="O108" s="1498"/>
      <c r="P108" s="1498"/>
      <c r="Q108" s="1498"/>
      <c r="R108" s="1498"/>
      <c r="S108" s="1498"/>
      <c r="T108" s="1498"/>
      <c r="U108" s="1498"/>
      <c r="V108" s="1498"/>
      <c r="W108" s="1498"/>
      <c r="X108" s="1498"/>
      <c r="Y108" s="1498"/>
      <c r="Z108" s="1498"/>
      <c r="AA108" s="1104">
        <f>Paramètres!AR173</f>
        <v>23</v>
      </c>
      <c r="AB108" s="1104">
        <f>Paramètres!AS173</f>
        <v>22</v>
      </c>
      <c r="AC108" s="1104">
        <f>Paramètres!AT173</f>
        <v>28</v>
      </c>
      <c r="AE108" s="618">
        <f t="shared" si="5"/>
        <v>23</v>
      </c>
      <c r="AF108" s="618">
        <f t="shared" si="6"/>
        <v>22</v>
      </c>
      <c r="AG108" s="618">
        <f t="shared" si="7"/>
        <v>28</v>
      </c>
      <c r="AI108" s="849">
        <f>Paramètres!AV173</f>
        <v>0.4</v>
      </c>
      <c r="AJ108" s="849">
        <f>Paramètres!AW173</f>
        <v>0.7</v>
      </c>
      <c r="AK108" s="849">
        <f>Paramètres!AX173</f>
        <v>1</v>
      </c>
      <c r="AY108" s="1337" t="str">
        <f t="shared" si="18"/>
        <v>Lisiers de pondeuses (10% MS)</v>
      </c>
      <c r="AZ108" s="1709">
        <f t="shared" si="20"/>
        <v>17</v>
      </c>
      <c r="BA108" s="1520" t="s">
        <v>2303</v>
      </c>
      <c r="BC108" s="2143" t="s">
        <v>801</v>
      </c>
    </row>
    <row r="109" spans="1:60" x14ac:dyDescent="0.2">
      <c r="A109" s="1164"/>
      <c r="B109" s="691"/>
      <c r="C109" s="11" t="s">
        <v>891</v>
      </c>
      <c r="D109" s="708"/>
      <c r="E109" s="1695"/>
      <c r="F109" s="617"/>
      <c r="G109" s="617"/>
      <c r="H109" s="617"/>
      <c r="I109" s="614"/>
      <c r="J109" s="1900">
        <f t="shared" si="19"/>
        <v>0</v>
      </c>
      <c r="K109" s="1900">
        <f t="shared" si="19"/>
        <v>0</v>
      </c>
      <c r="L109" s="1901">
        <f t="shared" si="19"/>
        <v>0</v>
      </c>
      <c r="M109" s="1164"/>
      <c r="N109" s="1498"/>
      <c r="O109" s="1498"/>
      <c r="P109" s="1498"/>
      <c r="Q109" s="1498"/>
      <c r="R109" s="1498"/>
      <c r="S109" s="1498"/>
      <c r="T109" s="1498"/>
      <c r="U109" s="1498"/>
      <c r="V109" s="1498"/>
      <c r="W109" s="1498"/>
      <c r="X109" s="1498"/>
      <c r="Y109" s="1498"/>
      <c r="Z109" s="1498"/>
      <c r="AA109" s="1104">
        <f>Paramètres!AR174</f>
        <v>30</v>
      </c>
      <c r="AB109" s="1104">
        <f>Paramètres!AS174</f>
        <v>28</v>
      </c>
      <c r="AC109" s="1104">
        <f>Paramètres!AT174</f>
        <v>33</v>
      </c>
      <c r="AE109" s="618">
        <f t="shared" si="5"/>
        <v>30</v>
      </c>
      <c r="AF109" s="618">
        <f t="shared" si="6"/>
        <v>28</v>
      </c>
      <c r="AG109" s="618">
        <f t="shared" si="7"/>
        <v>33</v>
      </c>
      <c r="AI109" s="849">
        <f>Paramètres!AV174</f>
        <v>0.4</v>
      </c>
      <c r="AJ109" s="849">
        <f>Paramètres!AW174</f>
        <v>0.7</v>
      </c>
      <c r="AK109" s="849">
        <f>Paramètres!AX174</f>
        <v>1</v>
      </c>
      <c r="AY109" s="1337" t="str">
        <f t="shared" si="18"/>
        <v>Lisiers de dindes</v>
      </c>
      <c r="AZ109" s="1709">
        <f t="shared" si="20"/>
        <v>30</v>
      </c>
      <c r="BA109" s="1520" t="s">
        <v>2303</v>
      </c>
      <c r="BC109" s="2143" t="s">
        <v>801</v>
      </c>
    </row>
    <row r="110" spans="1:60" ht="5.0999999999999996" customHeight="1" x14ac:dyDescent="0.2">
      <c r="A110" s="1164"/>
      <c r="B110" s="691"/>
      <c r="C110" s="11"/>
      <c r="D110" s="11"/>
      <c r="E110" s="614"/>
      <c r="F110" s="3024"/>
      <c r="G110" s="3024"/>
      <c r="H110" s="3024"/>
      <c r="I110" s="614"/>
      <c r="J110" s="1881"/>
      <c r="K110" s="1881"/>
      <c r="L110" s="1880"/>
      <c r="M110" s="1164"/>
      <c r="N110" s="1498"/>
      <c r="O110" s="1498"/>
      <c r="P110" s="1498"/>
      <c r="Q110" s="1498"/>
      <c r="R110" s="1498"/>
      <c r="S110" s="1498"/>
      <c r="T110" s="1498"/>
      <c r="U110" s="1498"/>
      <c r="V110" s="1498"/>
      <c r="W110" s="1498"/>
      <c r="X110" s="1498"/>
      <c r="Y110" s="1498"/>
      <c r="Z110" s="1498"/>
      <c r="AA110" s="630"/>
      <c r="AB110" s="630"/>
      <c r="AC110" s="630"/>
      <c r="AY110" s="1337" t="str">
        <f t="shared" si="18"/>
        <v>Lisiers de canards</v>
      </c>
      <c r="AZ110" s="1709">
        <f t="shared" si="20"/>
        <v>8</v>
      </c>
      <c r="BA110" s="1520" t="s">
        <v>2303</v>
      </c>
      <c r="BC110" s="2143" t="s">
        <v>801</v>
      </c>
    </row>
    <row r="111" spans="1:60" x14ac:dyDescent="0.2">
      <c r="A111" s="1164"/>
      <c r="B111" s="691"/>
      <c r="C111" s="11"/>
      <c r="D111" s="11"/>
      <c r="E111" s="614"/>
      <c r="F111" s="3254" t="s">
        <v>1772</v>
      </c>
      <c r="G111" s="3024"/>
      <c r="H111" s="3024"/>
      <c r="I111" s="614"/>
      <c r="J111" s="1881"/>
      <c r="K111" s="1881"/>
      <c r="L111" s="1880"/>
      <c r="M111" s="1164"/>
      <c r="N111" s="1498"/>
      <c r="O111" s="1498"/>
      <c r="P111" s="1498"/>
      <c r="Q111" s="1498"/>
      <c r="R111" s="1498"/>
      <c r="S111" s="1498"/>
      <c r="T111" s="1498"/>
      <c r="U111" s="1498"/>
      <c r="V111" s="1498"/>
      <c r="W111" s="1498"/>
      <c r="X111" s="1498"/>
      <c r="Y111" s="1498"/>
      <c r="Z111" s="1498"/>
      <c r="AA111" s="630"/>
      <c r="AB111" s="630"/>
      <c r="AC111" s="630"/>
      <c r="AP111" s="709"/>
      <c r="AQ111" s="709"/>
      <c r="AR111" s="709"/>
      <c r="AY111" s="1337" t="str">
        <f t="shared" si="18"/>
        <v>Lisiers de lapins</v>
      </c>
      <c r="AZ111" s="1709">
        <f t="shared" si="20"/>
        <v>4</v>
      </c>
      <c r="BA111" s="1520" t="s">
        <v>2303</v>
      </c>
      <c r="BC111" s="2143" t="s">
        <v>801</v>
      </c>
    </row>
    <row r="112" spans="1:60" x14ac:dyDescent="0.2">
      <c r="A112" s="1164"/>
      <c r="B112" s="691"/>
      <c r="C112" s="614"/>
      <c r="D112" s="614"/>
      <c r="E112" s="614" t="s">
        <v>650</v>
      </c>
      <c r="F112" s="3000" t="s">
        <v>658</v>
      </c>
      <c r="G112" s="3000"/>
      <c r="H112" s="3000"/>
      <c r="I112" s="614"/>
      <c r="J112" s="1881"/>
      <c r="K112" s="1881"/>
      <c r="L112" s="1880"/>
      <c r="M112" s="1164"/>
      <c r="N112" s="1498"/>
      <c r="O112" s="1498"/>
      <c r="P112" s="1498"/>
      <c r="Q112" s="1498"/>
      <c r="R112" s="1498"/>
      <c r="S112" s="1498"/>
      <c r="T112" s="1498"/>
      <c r="U112" s="1498"/>
      <c r="V112" s="1498"/>
      <c r="W112" s="1498"/>
      <c r="X112" s="1498"/>
      <c r="Y112" s="1498"/>
      <c r="Z112" s="1498"/>
      <c r="AA112" s="630"/>
      <c r="AB112" s="630"/>
      <c r="AC112" s="630"/>
      <c r="AP112" s="709"/>
      <c r="AQ112" s="709"/>
      <c r="AR112" s="709"/>
      <c r="AY112" s="1337" t="str">
        <f>BB$75&amp;BF72</f>
        <v>Co-produits de traitement des lisiers porcins Refus centrifugeuse sur lisier brut</v>
      </c>
      <c r="AZ112" s="1709">
        <f>AA131</f>
        <v>13.7</v>
      </c>
      <c r="BA112" s="1520" t="s">
        <v>801</v>
      </c>
      <c r="BC112" s="2143" t="s">
        <v>801</v>
      </c>
    </row>
    <row r="113" spans="1:55" x14ac:dyDescent="0.2">
      <c r="A113" s="1164"/>
      <c r="B113" s="691" t="s">
        <v>816</v>
      </c>
      <c r="C113" s="614"/>
      <c r="D113" s="614"/>
      <c r="E113" s="2928" t="s">
        <v>2303</v>
      </c>
      <c r="F113" s="614" t="s">
        <v>625</v>
      </c>
      <c r="G113" s="614" t="s">
        <v>187</v>
      </c>
      <c r="H113" s="614" t="s">
        <v>665</v>
      </c>
      <c r="I113" s="614"/>
      <c r="J113" s="1881"/>
      <c r="K113" s="1881"/>
      <c r="L113" s="1880"/>
      <c r="M113" s="1164"/>
      <c r="N113" s="1498"/>
      <c r="O113" s="1498"/>
      <c r="P113" s="1498"/>
      <c r="Q113" s="1498"/>
      <c r="R113" s="1498"/>
      <c r="S113" s="1498"/>
      <c r="T113" s="1498"/>
      <c r="U113" s="1498"/>
      <c r="V113" s="1498"/>
      <c r="W113" s="1498"/>
      <c r="X113" s="1498"/>
      <c r="Y113" s="1498"/>
      <c r="Z113" s="1498"/>
      <c r="AA113" s="630"/>
      <c r="AB113" s="630"/>
      <c r="AC113" s="630"/>
      <c r="AP113" s="709"/>
      <c r="AQ113" s="709"/>
      <c r="AR113" s="709"/>
      <c r="AY113" s="1337" t="str">
        <f>BB$75&amp;BF73</f>
        <v>Co-produits de traitement des lisiers porcins Refus centri. lisier brut + boues recycl.</v>
      </c>
      <c r="AZ113" s="1709">
        <f>AA132</f>
        <v>11.2</v>
      </c>
      <c r="BA113" s="1520" t="s">
        <v>801</v>
      </c>
      <c r="BC113" s="2143" t="s">
        <v>801</v>
      </c>
    </row>
    <row r="114" spans="1:55" x14ac:dyDescent="0.2">
      <c r="A114" s="1164"/>
      <c r="B114" s="691"/>
      <c r="C114" s="11" t="s">
        <v>818</v>
      </c>
      <c r="D114" s="614"/>
      <c r="E114" s="707" t="s">
        <v>800</v>
      </c>
      <c r="F114" s="614"/>
      <c r="G114" s="614"/>
      <c r="H114" s="614"/>
      <c r="I114" s="614"/>
      <c r="J114" s="1881"/>
      <c r="K114" s="1881"/>
      <c r="L114" s="1880"/>
      <c r="M114" s="1164"/>
      <c r="N114" s="1498"/>
      <c r="O114" s="1498"/>
      <c r="P114" s="1498"/>
      <c r="Q114" s="1498"/>
      <c r="R114" s="1498"/>
      <c r="S114" s="1498"/>
      <c r="T114" s="1498"/>
      <c r="U114" s="1498"/>
      <c r="V114" s="1498"/>
      <c r="W114" s="1498"/>
      <c r="X114" s="1498"/>
      <c r="Y114" s="1498"/>
      <c r="Z114" s="1498"/>
      <c r="AA114" s="630"/>
      <c r="AB114" s="630"/>
      <c r="AC114" s="630"/>
      <c r="AP114" s="709"/>
      <c r="AQ114" s="709"/>
      <c r="AR114" s="709"/>
      <c r="AY114" s="1337" t="str">
        <f>BB$75&amp;BF74</f>
        <v>Co-produits de traitement des lisiers porcins Boues biologiques après centrifugeuse</v>
      </c>
      <c r="AZ114" s="1709">
        <f>AA133</f>
        <v>2.2999999999999998</v>
      </c>
      <c r="BA114" s="1520" t="s">
        <v>2303</v>
      </c>
      <c r="BC114" s="2143" t="s">
        <v>801</v>
      </c>
    </row>
    <row r="115" spans="1:55" x14ac:dyDescent="0.2">
      <c r="A115" s="1164"/>
      <c r="B115" s="691"/>
      <c r="C115" s="11"/>
      <c r="D115" s="708" t="s">
        <v>819</v>
      </c>
      <c r="E115" s="1695"/>
      <c r="F115" s="617"/>
      <c r="G115" s="617"/>
      <c r="H115" s="617"/>
      <c r="I115" s="614"/>
      <c r="J115" s="1900">
        <f t="shared" ref="J115:J123" si="21">$E115*AE115*AI115</f>
        <v>0</v>
      </c>
      <c r="K115" s="1900">
        <f t="shared" ref="K115:K123" si="22">$E115*AF115*AJ115</f>
        <v>0</v>
      </c>
      <c r="L115" s="1901">
        <f t="shared" ref="L115:L123" si="23">$E115*AG115*AK115</f>
        <v>0</v>
      </c>
      <c r="M115" s="1164"/>
      <c r="N115" s="1498"/>
      <c r="O115" s="1498"/>
      <c r="P115" s="1498"/>
      <c r="Q115" s="1498"/>
      <c r="R115" s="1498"/>
      <c r="S115" s="1498"/>
      <c r="T115" s="1498"/>
      <c r="U115" s="1498"/>
      <c r="V115" s="1498"/>
      <c r="W115" s="1498"/>
      <c r="X115" s="1498"/>
      <c r="Y115" s="1498"/>
      <c r="Z115" s="1498"/>
      <c r="AA115" s="1104">
        <f>Paramètres!AR180</f>
        <v>4</v>
      </c>
      <c r="AB115" s="1104">
        <f>Paramètres!AS180</f>
        <v>1.5</v>
      </c>
      <c r="AC115" s="1104">
        <f>Paramètres!AT180</f>
        <v>5</v>
      </c>
      <c r="AE115" s="618">
        <f t="shared" si="5"/>
        <v>4</v>
      </c>
      <c r="AF115" s="618">
        <f t="shared" si="6"/>
        <v>1.5</v>
      </c>
      <c r="AG115" s="618">
        <f t="shared" si="7"/>
        <v>5</v>
      </c>
      <c r="AI115" s="849">
        <f>Paramètres!AV180</f>
        <v>0.5</v>
      </c>
      <c r="AJ115" s="849">
        <f>Paramètres!AW180</f>
        <v>0.85</v>
      </c>
      <c r="AK115" s="849">
        <f>Paramètres!AX180</f>
        <v>1</v>
      </c>
      <c r="AY115" s="1337" t="str">
        <f>BB$75&amp;BF75</f>
        <v>Co-produits de traitement des lisiers porcins Compost de lisier sur paille</v>
      </c>
      <c r="AZ115" s="1709">
        <f>AA134</f>
        <v>6.5</v>
      </c>
      <c r="BA115" s="1520" t="s">
        <v>801</v>
      </c>
      <c r="BC115" s="2143" t="s">
        <v>801</v>
      </c>
    </row>
    <row r="116" spans="1:55" x14ac:dyDescent="0.2">
      <c r="A116" s="1164"/>
      <c r="B116" s="691"/>
      <c r="C116" s="11"/>
      <c r="D116" s="708" t="s">
        <v>914</v>
      </c>
      <c r="E116" s="1695"/>
      <c r="F116" s="617"/>
      <c r="G116" s="617"/>
      <c r="H116" s="617"/>
      <c r="I116" s="614"/>
      <c r="J116" s="1900">
        <f t="shared" si="21"/>
        <v>0</v>
      </c>
      <c r="K116" s="1900">
        <f t="shared" si="22"/>
        <v>0</v>
      </c>
      <c r="L116" s="1901">
        <f t="shared" si="23"/>
        <v>0</v>
      </c>
      <c r="M116" s="1164"/>
      <c r="N116" s="1498"/>
      <c r="O116" s="1498"/>
      <c r="P116" s="1498"/>
      <c r="Q116" s="1498"/>
      <c r="R116" s="1498"/>
      <c r="S116" s="1498"/>
      <c r="T116" s="1498"/>
      <c r="U116" s="1498"/>
      <c r="V116" s="1498"/>
      <c r="W116" s="1498"/>
      <c r="X116" s="1498"/>
      <c r="Y116" s="1498"/>
      <c r="Z116" s="1498"/>
      <c r="AA116" s="1104">
        <f>Paramètres!AR181</f>
        <v>5.2</v>
      </c>
      <c r="AB116" s="1104">
        <f>Paramètres!AS181</f>
        <v>2</v>
      </c>
      <c r="AC116" s="1104">
        <f>Paramètres!AT181</f>
        <v>4</v>
      </c>
      <c r="AE116" s="618">
        <f t="shared" si="5"/>
        <v>5.2</v>
      </c>
      <c r="AF116" s="618">
        <f t="shared" si="6"/>
        <v>2</v>
      </c>
      <c r="AG116" s="618">
        <f t="shared" si="7"/>
        <v>4</v>
      </c>
      <c r="AI116" s="849">
        <f>Paramètres!AV181</f>
        <v>0.5</v>
      </c>
      <c r="AJ116" s="849">
        <f>Paramètres!AW181</f>
        <v>0.85</v>
      </c>
      <c r="AK116" s="849">
        <f>Paramètres!AX181</f>
        <v>1</v>
      </c>
      <c r="AY116" s="1337" t="str">
        <f>BB$75&amp;BF76</f>
        <v>Co-produits de traitement des lisiers porcins Eau résiduaire après extraction boues</v>
      </c>
      <c r="AZ116" s="1709">
        <f>AA136</f>
        <v>0.06</v>
      </c>
      <c r="BA116" s="1520" t="s">
        <v>2303</v>
      </c>
      <c r="BC116" s="2143" t="s">
        <v>801</v>
      </c>
    </row>
    <row r="117" spans="1:55" x14ac:dyDescent="0.2">
      <c r="A117" s="1164"/>
      <c r="B117" s="691"/>
      <c r="C117" s="11"/>
      <c r="D117" s="708" t="s">
        <v>821</v>
      </c>
      <c r="E117" s="1695"/>
      <c r="F117" s="617"/>
      <c r="G117" s="617"/>
      <c r="H117" s="617"/>
      <c r="I117" s="614"/>
      <c r="J117" s="1900">
        <f t="shared" si="21"/>
        <v>0</v>
      </c>
      <c r="K117" s="1900">
        <f t="shared" si="22"/>
        <v>0</v>
      </c>
      <c r="L117" s="1901">
        <f t="shared" si="23"/>
        <v>0</v>
      </c>
      <c r="M117" s="1164"/>
      <c r="N117" s="1498"/>
      <c r="O117" s="1498"/>
      <c r="P117" s="1498"/>
      <c r="Q117" s="1498"/>
      <c r="R117" s="1498"/>
      <c r="S117" s="1498"/>
      <c r="T117" s="1498"/>
      <c r="U117" s="1498"/>
      <c r="V117" s="1498"/>
      <c r="W117" s="1498"/>
      <c r="X117" s="1498"/>
      <c r="Y117" s="1498"/>
      <c r="Z117" s="1498"/>
      <c r="AA117" s="1104">
        <f>Paramètres!AR182</f>
        <v>2.8</v>
      </c>
      <c r="AB117" s="1104">
        <f>Paramètres!AS182</f>
        <v>1.1000000000000001</v>
      </c>
      <c r="AC117" s="1104">
        <f>Paramètres!AT182</f>
        <v>3.3</v>
      </c>
      <c r="AE117" s="618">
        <f t="shared" si="5"/>
        <v>2.8</v>
      </c>
      <c r="AF117" s="618">
        <f t="shared" si="6"/>
        <v>1.1000000000000001</v>
      </c>
      <c r="AG117" s="618">
        <f t="shared" si="7"/>
        <v>3.3</v>
      </c>
      <c r="AI117" s="849">
        <f>Paramètres!AV182</f>
        <v>0.5</v>
      </c>
      <c r="AJ117" s="849">
        <f>Paramètres!AW182</f>
        <v>0.85</v>
      </c>
      <c r="AK117" s="849">
        <f>Paramètres!AX182</f>
        <v>1</v>
      </c>
      <c r="AY117" s="1337" t="str">
        <f>BB$76&amp;BG72</f>
        <v>Digesta de méthanisation Liquides</v>
      </c>
      <c r="AZ117" s="1709">
        <f>AA142</f>
        <v>4</v>
      </c>
      <c r="BA117" s="1520" t="s">
        <v>2303</v>
      </c>
    </row>
    <row r="118" spans="1:55" x14ac:dyDescent="0.2">
      <c r="A118" s="1164"/>
      <c r="B118" s="691"/>
      <c r="C118" s="11"/>
      <c r="D118" s="708" t="s">
        <v>822</v>
      </c>
      <c r="E118" s="1695"/>
      <c r="F118" s="617"/>
      <c r="G118" s="617"/>
      <c r="H118" s="617"/>
      <c r="I118" s="614"/>
      <c r="J118" s="1900">
        <f t="shared" si="21"/>
        <v>0</v>
      </c>
      <c r="K118" s="1900">
        <f t="shared" si="22"/>
        <v>0</v>
      </c>
      <c r="L118" s="1901">
        <f t="shared" si="23"/>
        <v>0</v>
      </c>
      <c r="M118" s="1164"/>
      <c r="N118" s="1498"/>
      <c r="O118" s="1498"/>
      <c r="P118" s="1498"/>
      <c r="Q118" s="1498"/>
      <c r="R118" s="1498"/>
      <c r="S118" s="1498"/>
      <c r="T118" s="1498"/>
      <c r="U118" s="1498"/>
      <c r="V118" s="1498"/>
      <c r="W118" s="1498"/>
      <c r="X118" s="1498"/>
      <c r="Y118" s="1498"/>
      <c r="Z118" s="1498"/>
      <c r="AA118" s="1104">
        <f>Paramètres!AR183</f>
        <v>1.6</v>
      </c>
      <c r="AB118" s="1104">
        <f>Paramètres!AS183</f>
        <v>0.8</v>
      </c>
      <c r="AC118" s="1104">
        <f>Paramètres!AT183</f>
        <v>2.5</v>
      </c>
      <c r="AE118" s="618">
        <f t="shared" si="5"/>
        <v>1.6</v>
      </c>
      <c r="AF118" s="618">
        <f t="shared" si="6"/>
        <v>0.8</v>
      </c>
      <c r="AG118" s="618">
        <f t="shared" si="7"/>
        <v>2.5</v>
      </c>
      <c r="AI118" s="849">
        <f>Paramètres!AV183</f>
        <v>0.5</v>
      </c>
      <c r="AJ118" s="849">
        <f>Paramètres!AW183</f>
        <v>0.85</v>
      </c>
      <c r="AK118" s="849">
        <f>Paramètres!AX183</f>
        <v>1</v>
      </c>
      <c r="AY118" s="1337" t="str">
        <f>BB$76&amp;BG73</f>
        <v>Digesta de méthanisation Solides</v>
      </c>
      <c r="AZ118" s="1709">
        <f>AA143</f>
        <v>7</v>
      </c>
      <c r="BA118" s="1520" t="s">
        <v>801</v>
      </c>
    </row>
    <row r="119" spans="1:55" x14ac:dyDescent="0.2">
      <c r="A119" s="1164"/>
      <c r="B119" s="691"/>
      <c r="C119" s="11" t="s">
        <v>817</v>
      </c>
      <c r="D119" s="614"/>
      <c r="E119" s="1696"/>
      <c r="F119" s="614"/>
      <c r="G119" s="614"/>
      <c r="H119" s="614"/>
      <c r="I119" s="614"/>
      <c r="J119" s="1881"/>
      <c r="K119" s="1881"/>
      <c r="L119" s="1880"/>
      <c r="M119" s="1164"/>
      <c r="N119" s="1498"/>
      <c r="O119" s="1498"/>
      <c r="P119" s="1498"/>
      <c r="Q119" s="1498"/>
      <c r="R119" s="1498"/>
      <c r="S119" s="1498"/>
      <c r="T119" s="1498"/>
      <c r="U119" s="1498"/>
      <c r="V119" s="1498"/>
      <c r="W119" s="1498"/>
      <c r="X119" s="1498"/>
      <c r="Y119" s="1498"/>
      <c r="Z119" s="1498"/>
      <c r="AA119" s="630"/>
      <c r="AB119" s="630"/>
      <c r="AC119" s="630"/>
      <c r="AI119" s="709"/>
      <c r="AJ119" s="709"/>
      <c r="AK119" s="709"/>
      <c r="AY119" s="1337" t="str">
        <f>BB$76&amp;BG74</f>
        <v>Digesta de méthanisation Composts</v>
      </c>
      <c r="AZ119" s="1709">
        <f>AA144</f>
        <v>15</v>
      </c>
      <c r="BA119" s="1520" t="s">
        <v>801</v>
      </c>
    </row>
    <row r="120" spans="1:55" x14ac:dyDescent="0.2">
      <c r="A120" s="1164"/>
      <c r="B120" s="691"/>
      <c r="C120" s="11"/>
      <c r="D120" s="708" t="s">
        <v>823</v>
      </c>
      <c r="E120" s="1695"/>
      <c r="F120" s="617"/>
      <c r="G120" s="617"/>
      <c r="H120" s="617"/>
      <c r="I120" s="614"/>
      <c r="J120" s="1900">
        <f t="shared" si="21"/>
        <v>0</v>
      </c>
      <c r="K120" s="1900">
        <f t="shared" si="22"/>
        <v>0</v>
      </c>
      <c r="L120" s="1901">
        <f t="shared" si="23"/>
        <v>0</v>
      </c>
      <c r="M120" s="1164"/>
      <c r="N120" s="1498"/>
      <c r="O120" s="1498"/>
      <c r="P120" s="1498"/>
      <c r="Q120" s="1498"/>
      <c r="R120" s="1498"/>
      <c r="S120" s="1498"/>
      <c r="T120" s="1498"/>
      <c r="U120" s="1498"/>
      <c r="V120" s="1498"/>
      <c r="W120" s="1498"/>
      <c r="X120" s="1498"/>
      <c r="Y120" s="1498"/>
      <c r="Z120" s="1498"/>
      <c r="AA120" s="1104">
        <f>Paramètres!AR185</f>
        <v>3.5</v>
      </c>
      <c r="AB120" s="1104">
        <f>Paramètres!AS185</f>
        <v>2.1</v>
      </c>
      <c r="AC120" s="1104">
        <f>Paramètres!AT185</f>
        <v>2.5</v>
      </c>
      <c r="AE120" s="618">
        <f t="shared" si="5"/>
        <v>3.5</v>
      </c>
      <c r="AF120" s="618">
        <f t="shared" si="6"/>
        <v>2.1</v>
      </c>
      <c r="AG120" s="618">
        <f t="shared" si="7"/>
        <v>2.5</v>
      </c>
      <c r="AI120" s="849">
        <f>Paramètres!AV185</f>
        <v>0.5</v>
      </c>
      <c r="AJ120" s="849">
        <f>Paramètres!AW185</f>
        <v>0.85</v>
      </c>
      <c r="AK120" s="849">
        <f>Paramètres!AX185</f>
        <v>1</v>
      </c>
      <c r="AY120" s="1337" t="str">
        <f>BB$77&amp;BH72</f>
        <v>Boues d'épuration Liquides</v>
      </c>
      <c r="AZ120" s="1709">
        <f>AA149</f>
        <v>2</v>
      </c>
      <c r="BA120" s="1520" t="s">
        <v>2303</v>
      </c>
    </row>
    <row r="121" spans="1:55" x14ac:dyDescent="0.2">
      <c r="A121" s="1164"/>
      <c r="B121" s="691"/>
      <c r="C121" s="11"/>
      <c r="D121" s="708" t="s">
        <v>855</v>
      </c>
      <c r="E121" s="1695"/>
      <c r="F121" s="617"/>
      <c r="G121" s="617"/>
      <c r="H121" s="617"/>
      <c r="I121" s="614"/>
      <c r="J121" s="1900">
        <f t="shared" si="21"/>
        <v>0</v>
      </c>
      <c r="K121" s="1900">
        <f t="shared" si="22"/>
        <v>0</v>
      </c>
      <c r="L121" s="1901">
        <f t="shared" si="23"/>
        <v>0</v>
      </c>
      <c r="M121" s="1164"/>
      <c r="N121" s="1498"/>
      <c r="O121" s="1498"/>
      <c r="P121" s="1498"/>
      <c r="Q121" s="1498"/>
      <c r="R121" s="1498"/>
      <c r="S121" s="1498"/>
      <c r="T121" s="1498"/>
      <c r="U121" s="1498"/>
      <c r="V121" s="1498"/>
      <c r="W121" s="1498"/>
      <c r="X121" s="1498"/>
      <c r="Y121" s="1498"/>
      <c r="Z121" s="1498"/>
      <c r="AA121" s="1104">
        <f>Paramètres!AR186</f>
        <v>5.8</v>
      </c>
      <c r="AB121" s="1104">
        <f>Paramètres!AS186</f>
        <v>3.2</v>
      </c>
      <c r="AC121" s="1104">
        <f>Paramètres!AT186</f>
        <v>4.8</v>
      </c>
      <c r="AE121" s="618">
        <f t="shared" si="5"/>
        <v>5.8</v>
      </c>
      <c r="AF121" s="618">
        <f t="shared" si="6"/>
        <v>3.2</v>
      </c>
      <c r="AG121" s="618">
        <f t="shared" si="7"/>
        <v>4.8</v>
      </c>
      <c r="AI121" s="849">
        <f>Paramètres!AV186</f>
        <v>0.5</v>
      </c>
      <c r="AJ121" s="849">
        <f>Paramètres!AW186</f>
        <v>0.85</v>
      </c>
      <c r="AK121" s="849">
        <f>Paramètres!AX186</f>
        <v>1</v>
      </c>
      <c r="AY121" s="1337" t="str">
        <f>BB$77&amp;BH73</f>
        <v>Boues d'épuration Pâteuses</v>
      </c>
      <c r="AZ121" s="1709">
        <f>AA150</f>
        <v>7</v>
      </c>
      <c r="BA121" s="1520" t="s">
        <v>2303</v>
      </c>
    </row>
    <row r="122" spans="1:55" x14ac:dyDescent="0.2">
      <c r="A122" s="1164"/>
      <c r="B122" s="691"/>
      <c r="C122" s="11" t="s">
        <v>824</v>
      </c>
      <c r="D122" s="708"/>
      <c r="E122" s="1695"/>
      <c r="F122" s="617"/>
      <c r="G122" s="617"/>
      <c r="H122" s="617"/>
      <c r="I122" s="614"/>
      <c r="J122" s="1900">
        <f t="shared" si="21"/>
        <v>0</v>
      </c>
      <c r="K122" s="1900">
        <f t="shared" si="22"/>
        <v>0</v>
      </c>
      <c r="L122" s="1901">
        <f t="shared" si="23"/>
        <v>0</v>
      </c>
      <c r="M122" s="1164"/>
      <c r="N122" s="1498"/>
      <c r="O122" s="1498"/>
      <c r="P122" s="1498"/>
      <c r="Q122" s="1498"/>
      <c r="R122" s="1498"/>
      <c r="S122" s="1498"/>
      <c r="T122" s="1498"/>
      <c r="U122" s="1498"/>
      <c r="V122" s="1498"/>
      <c r="W122" s="1498"/>
      <c r="X122" s="1498"/>
      <c r="Y122" s="1498"/>
      <c r="Z122" s="1498"/>
      <c r="AA122" s="1104">
        <f>Paramètres!AR187</f>
        <v>17</v>
      </c>
      <c r="AB122" s="1104">
        <f>Paramètres!AS187</f>
        <v>10</v>
      </c>
      <c r="AC122" s="1104">
        <f>Paramètres!AT187</f>
        <v>8</v>
      </c>
      <c r="AE122" s="618">
        <f t="shared" si="5"/>
        <v>17</v>
      </c>
      <c r="AF122" s="618">
        <f t="shared" si="6"/>
        <v>10</v>
      </c>
      <c r="AG122" s="618">
        <f t="shared" si="7"/>
        <v>8</v>
      </c>
      <c r="AI122" s="849">
        <f>Paramètres!AV187</f>
        <v>0.6</v>
      </c>
      <c r="AJ122" s="849">
        <f>Paramètres!AW187</f>
        <v>0.65</v>
      </c>
      <c r="AK122" s="849">
        <f>Paramètres!AX187</f>
        <v>1</v>
      </c>
      <c r="AY122" s="1337" t="str">
        <f>BB$77&amp;BH74</f>
        <v>Boues d'épuration Composts</v>
      </c>
      <c r="AZ122" s="1709">
        <f>AA151</f>
        <v>9</v>
      </c>
      <c r="BA122" s="1520" t="s">
        <v>801</v>
      </c>
    </row>
    <row r="123" spans="1:55" x14ac:dyDescent="0.2">
      <c r="A123" s="1164"/>
      <c r="B123" s="691"/>
      <c r="C123" s="11" t="s">
        <v>885</v>
      </c>
      <c r="D123" s="708"/>
      <c r="E123" s="1695"/>
      <c r="F123" s="617"/>
      <c r="G123" s="617"/>
      <c r="H123" s="617"/>
      <c r="I123" s="614"/>
      <c r="J123" s="1900">
        <f t="shared" si="21"/>
        <v>0</v>
      </c>
      <c r="K123" s="1900">
        <f t="shared" si="22"/>
        <v>0</v>
      </c>
      <c r="L123" s="1901">
        <f t="shared" si="23"/>
        <v>0</v>
      </c>
      <c r="M123" s="1164"/>
      <c r="N123" s="1498"/>
      <c r="O123" s="1498"/>
      <c r="P123" s="1498"/>
      <c r="Q123" s="1498"/>
      <c r="R123" s="1498"/>
      <c r="S123" s="1498"/>
      <c r="T123" s="1498"/>
      <c r="U123" s="1498"/>
      <c r="V123" s="1498"/>
      <c r="W123" s="1498"/>
      <c r="X123" s="1498"/>
      <c r="Y123" s="1498"/>
      <c r="Z123" s="1498"/>
      <c r="AA123" s="1104">
        <f>Paramètres!AR188</f>
        <v>30</v>
      </c>
      <c r="AB123" s="1104">
        <f>Paramètres!AS188</f>
        <v>21</v>
      </c>
      <c r="AC123" s="1104">
        <f>Paramètres!AT188</f>
        <v>10</v>
      </c>
      <c r="AE123" s="618">
        <f t="shared" si="5"/>
        <v>30</v>
      </c>
      <c r="AF123" s="618">
        <f t="shared" si="6"/>
        <v>21</v>
      </c>
      <c r="AG123" s="618">
        <f t="shared" si="7"/>
        <v>10</v>
      </c>
      <c r="AI123" s="849">
        <f>Paramètres!AV188</f>
        <v>0.6</v>
      </c>
      <c r="AJ123" s="849">
        <f>Paramètres!AW188</f>
        <v>0.65</v>
      </c>
      <c r="AK123" s="849">
        <f>Paramètres!AX188</f>
        <v>1</v>
      </c>
    </row>
    <row r="124" spans="1:55" x14ac:dyDescent="0.2">
      <c r="A124" s="1164"/>
      <c r="B124" s="691"/>
      <c r="C124" s="1330" t="s">
        <v>977</v>
      </c>
      <c r="D124" s="708"/>
      <c r="E124" s="1695"/>
      <c r="F124" s="617"/>
      <c r="G124" s="617"/>
      <c r="H124" s="617"/>
      <c r="I124" s="1325"/>
      <c r="J124" s="1900">
        <f t="shared" ref="J124:L125" si="24">$E124*AE124*AI124</f>
        <v>0</v>
      </c>
      <c r="K124" s="1900">
        <f t="shared" si="24"/>
        <v>0</v>
      </c>
      <c r="L124" s="1901">
        <f t="shared" si="24"/>
        <v>0</v>
      </c>
      <c r="M124" s="1164"/>
      <c r="N124" s="1498"/>
      <c r="O124" s="1498"/>
      <c r="P124" s="1498"/>
      <c r="Q124" s="1498"/>
      <c r="R124" s="1498"/>
      <c r="S124" s="1498"/>
      <c r="T124" s="1498"/>
      <c r="U124" s="1498"/>
      <c r="V124" s="1498"/>
      <c r="W124" s="1498"/>
      <c r="X124" s="1498"/>
      <c r="Y124" s="1498"/>
      <c r="Z124" s="1498"/>
      <c r="AA124" s="1104">
        <f>Paramètres!AR189</f>
        <v>8</v>
      </c>
      <c r="AB124" s="1104">
        <f>Paramètres!AS189</f>
        <v>5.5</v>
      </c>
      <c r="AC124" s="1104">
        <f>Paramètres!AT189</f>
        <v>5.0999999999999996</v>
      </c>
      <c r="AE124" s="1327">
        <f t="shared" ref="AE124:AG125" si="25">IF(ISBLANK(F124),AA124,F124)</f>
        <v>8</v>
      </c>
      <c r="AF124" s="1327">
        <f t="shared" si="25"/>
        <v>5.5</v>
      </c>
      <c r="AG124" s="1327">
        <f t="shared" si="25"/>
        <v>5.0999999999999996</v>
      </c>
      <c r="AI124" s="849">
        <f>Paramètres!AV189</f>
        <v>0.6</v>
      </c>
      <c r="AJ124" s="849">
        <f>Paramètres!AW189</f>
        <v>0.65</v>
      </c>
      <c r="AK124" s="849">
        <f>Paramètres!AX189</f>
        <v>1</v>
      </c>
    </row>
    <row r="125" spans="1:55" x14ac:dyDescent="0.2">
      <c r="A125" s="1164"/>
      <c r="B125" s="1965"/>
      <c r="C125" s="1555" t="s">
        <v>1902</v>
      </c>
      <c r="D125" s="708"/>
      <c r="E125" s="1695"/>
      <c r="F125" s="617"/>
      <c r="G125" s="617"/>
      <c r="H125" s="617"/>
      <c r="I125" s="1950"/>
      <c r="J125" s="1900">
        <f t="shared" si="24"/>
        <v>0</v>
      </c>
      <c r="K125" s="1900">
        <f t="shared" si="24"/>
        <v>0</v>
      </c>
      <c r="L125" s="1901">
        <f t="shared" si="24"/>
        <v>0</v>
      </c>
      <c r="M125" s="1164"/>
      <c r="N125" s="1498"/>
      <c r="O125" s="1498"/>
      <c r="P125" s="1498"/>
      <c r="Q125" s="1498"/>
      <c r="R125" s="1498"/>
      <c r="S125" s="1498"/>
      <c r="T125" s="1498"/>
      <c r="U125" s="1498"/>
      <c r="V125" s="1498"/>
      <c r="W125" s="1498"/>
      <c r="X125" s="1498"/>
      <c r="Y125" s="1498"/>
      <c r="Z125" s="1498"/>
      <c r="AA125" s="1104">
        <f>Paramètres!AR190</f>
        <v>4</v>
      </c>
      <c r="AB125" s="1104">
        <f>Paramètres!AS190</f>
        <v>2.5</v>
      </c>
      <c r="AC125" s="1104">
        <f>Paramètres!AT190</f>
        <v>5</v>
      </c>
      <c r="AE125" s="1953">
        <f t="shared" si="25"/>
        <v>4</v>
      </c>
      <c r="AF125" s="1953">
        <f t="shared" si="25"/>
        <v>2.5</v>
      </c>
      <c r="AG125" s="1953">
        <f t="shared" si="25"/>
        <v>5</v>
      </c>
      <c r="AI125" s="849">
        <f>Paramètres!AV190</f>
        <v>0.4</v>
      </c>
      <c r="AJ125" s="849">
        <f>Paramètres!AW190</f>
        <v>0.65</v>
      </c>
      <c r="AK125" s="849">
        <f>Paramètres!AX190</f>
        <v>1</v>
      </c>
    </row>
    <row r="126" spans="1:55" ht="5.0999999999999996" customHeight="1" x14ac:dyDescent="0.2">
      <c r="A126" s="1164"/>
      <c r="B126" s="694"/>
      <c r="C126" s="622"/>
      <c r="D126" s="622"/>
      <c r="E126" s="622"/>
      <c r="F126" s="622"/>
      <c r="G126" s="622"/>
      <c r="H126" s="622"/>
      <c r="I126" s="622"/>
      <c r="J126" s="1881"/>
      <c r="K126" s="1881"/>
      <c r="L126" s="1889"/>
      <c r="M126" s="1164"/>
      <c r="N126" s="1498"/>
      <c r="O126" s="1498"/>
      <c r="P126" s="1498"/>
      <c r="Q126" s="1498"/>
      <c r="R126" s="1498"/>
      <c r="S126" s="1498"/>
      <c r="T126" s="1498"/>
      <c r="U126" s="1498"/>
      <c r="V126" s="1498"/>
      <c r="W126" s="1498"/>
      <c r="X126" s="1498"/>
      <c r="Y126" s="1498"/>
      <c r="Z126" s="1498"/>
    </row>
    <row r="127" spans="1:55" x14ac:dyDescent="0.2">
      <c r="A127" s="1164"/>
      <c r="B127" s="691"/>
      <c r="C127" s="11"/>
      <c r="D127" s="11"/>
      <c r="E127" s="614"/>
      <c r="F127" s="3024"/>
      <c r="G127" s="3024"/>
      <c r="H127" s="3024"/>
      <c r="I127" s="614"/>
      <c r="J127" s="1881"/>
      <c r="K127" s="1881"/>
      <c r="L127" s="1889"/>
      <c r="M127" s="1164"/>
      <c r="N127" s="1498"/>
      <c r="O127" s="1498"/>
      <c r="P127" s="1498"/>
      <c r="Q127" s="1498"/>
      <c r="R127" s="1498"/>
      <c r="S127" s="1498"/>
      <c r="T127" s="1498"/>
      <c r="U127" s="1498"/>
      <c r="V127" s="1498"/>
      <c r="W127" s="1498"/>
      <c r="X127" s="1498"/>
      <c r="Y127" s="1498"/>
      <c r="Z127" s="1498"/>
    </row>
    <row r="128" spans="1:55" x14ac:dyDescent="0.2">
      <c r="A128" s="1164"/>
      <c r="B128" s="691"/>
      <c r="C128" s="614"/>
      <c r="D128" s="614"/>
      <c r="E128" s="614" t="s">
        <v>650</v>
      </c>
      <c r="F128" s="3254" t="s">
        <v>1772</v>
      </c>
      <c r="G128" s="3024"/>
      <c r="H128" s="3024"/>
      <c r="I128" s="614"/>
      <c r="J128" s="1881"/>
      <c r="K128" s="1881"/>
      <c r="L128" s="1889"/>
      <c r="M128" s="1164"/>
      <c r="N128" s="1498"/>
      <c r="O128" s="1498"/>
      <c r="P128" s="1498"/>
      <c r="Q128" s="1498"/>
      <c r="R128" s="1498"/>
      <c r="S128" s="1498"/>
      <c r="T128" s="1498"/>
      <c r="U128" s="1498"/>
      <c r="V128" s="1498"/>
      <c r="W128" s="1498"/>
      <c r="X128" s="1498"/>
      <c r="Y128" s="1498"/>
      <c r="Z128" s="1498"/>
    </row>
    <row r="129" spans="1:37" x14ac:dyDescent="0.2">
      <c r="A129" s="1164"/>
      <c r="B129" s="691" t="s">
        <v>869</v>
      </c>
      <c r="C129" s="614"/>
      <c r="D129" s="614"/>
      <c r="E129" s="614" t="s">
        <v>870</v>
      </c>
      <c r="F129" s="1436" t="s">
        <v>625</v>
      </c>
      <c r="G129" s="1436" t="s">
        <v>187</v>
      </c>
      <c r="H129" s="1436" t="s">
        <v>665</v>
      </c>
      <c r="I129" s="614"/>
      <c r="J129" s="1881"/>
      <c r="K129" s="1881"/>
      <c r="L129" s="1889"/>
      <c r="M129" s="1164"/>
      <c r="N129" s="1498"/>
      <c r="O129" s="1498"/>
      <c r="P129" s="1498"/>
      <c r="Q129" s="1498"/>
      <c r="R129" s="1498"/>
      <c r="S129" s="1498"/>
      <c r="T129" s="1498"/>
      <c r="U129" s="1498"/>
      <c r="V129" s="1498"/>
      <c r="W129" s="1498"/>
      <c r="X129" s="1498"/>
      <c r="Y129" s="1498"/>
      <c r="Z129" s="1498"/>
    </row>
    <row r="130" spans="1:37" x14ac:dyDescent="0.2">
      <c r="A130" s="1164"/>
      <c r="B130" s="691"/>
      <c r="C130" s="11"/>
      <c r="D130" s="614"/>
      <c r="E130" s="707"/>
      <c r="F130" s="3000" t="s">
        <v>856</v>
      </c>
      <c r="G130" s="3000"/>
      <c r="H130" s="3000"/>
      <c r="I130" s="614"/>
      <c r="J130" s="1881"/>
      <c r="K130" s="1881"/>
      <c r="L130" s="1889"/>
      <c r="M130" s="1164"/>
      <c r="N130" s="1498"/>
      <c r="O130" s="1498"/>
      <c r="P130" s="1498"/>
      <c r="Q130" s="1498"/>
      <c r="R130" s="1498"/>
      <c r="S130" s="1498"/>
      <c r="T130" s="1498"/>
      <c r="U130" s="1498"/>
      <c r="V130" s="1498"/>
      <c r="W130" s="1498"/>
      <c r="X130" s="1498"/>
      <c r="Y130" s="1498"/>
      <c r="Z130" s="1498"/>
    </row>
    <row r="131" spans="1:37" x14ac:dyDescent="0.2">
      <c r="A131" s="1164"/>
      <c r="B131" s="691"/>
      <c r="C131" s="11" t="s">
        <v>791</v>
      </c>
      <c r="D131" s="614"/>
      <c r="E131" s="1695"/>
      <c r="F131" s="617"/>
      <c r="G131" s="617"/>
      <c r="H131" s="617"/>
      <c r="I131" s="614"/>
      <c r="J131" s="1900">
        <f t="shared" ref="J131:L134" si="26">$E131*AE131*AI131</f>
        <v>0</v>
      </c>
      <c r="K131" s="1900">
        <f t="shared" si="26"/>
        <v>0</v>
      </c>
      <c r="L131" s="1901">
        <f t="shared" si="26"/>
        <v>0</v>
      </c>
      <c r="M131" s="1164"/>
      <c r="N131" s="1498"/>
      <c r="O131" s="1498"/>
      <c r="P131" s="1498"/>
      <c r="Q131" s="1498"/>
      <c r="R131" s="1498"/>
      <c r="S131" s="1498"/>
      <c r="T131" s="1498"/>
      <c r="U131" s="1498"/>
      <c r="V131" s="1498"/>
      <c r="W131" s="1498"/>
      <c r="X131" s="1498"/>
      <c r="Y131" s="1498"/>
      <c r="Z131" s="1498"/>
      <c r="AA131" s="1104">
        <f>Paramètres!AR194</f>
        <v>13.7</v>
      </c>
      <c r="AB131" s="1104">
        <f>Paramètres!AS194</f>
        <v>34</v>
      </c>
      <c r="AC131" s="1104">
        <f>Paramètres!AT194</f>
        <v>4</v>
      </c>
      <c r="AE131" s="618">
        <f t="shared" ref="AE131:AG133" si="27">IF(ISBLANK(F131),AA131,F131)</f>
        <v>13.7</v>
      </c>
      <c r="AF131" s="618">
        <f t="shared" si="27"/>
        <v>34</v>
      </c>
      <c r="AG131" s="618">
        <f t="shared" si="27"/>
        <v>4</v>
      </c>
      <c r="AI131" s="849">
        <f>Paramètres!AV194</f>
        <v>0.3</v>
      </c>
      <c r="AJ131" s="849">
        <f>Paramètres!AW194</f>
        <v>0.85</v>
      </c>
      <c r="AK131" s="849">
        <f>Paramètres!AX194</f>
        <v>1</v>
      </c>
    </row>
    <row r="132" spans="1:37" x14ac:dyDescent="0.2">
      <c r="A132" s="1164"/>
      <c r="B132" s="691"/>
      <c r="C132" s="11" t="s">
        <v>494</v>
      </c>
      <c r="D132" s="614"/>
      <c r="E132" s="1695"/>
      <c r="F132" s="617"/>
      <c r="G132" s="617"/>
      <c r="H132" s="617"/>
      <c r="I132" s="614"/>
      <c r="J132" s="1900">
        <f t="shared" si="26"/>
        <v>0</v>
      </c>
      <c r="K132" s="1900">
        <f t="shared" si="26"/>
        <v>0</v>
      </c>
      <c r="L132" s="1901">
        <f t="shared" si="26"/>
        <v>0</v>
      </c>
      <c r="M132" s="1164"/>
      <c r="N132" s="1498"/>
      <c r="O132" s="1498"/>
      <c r="P132" s="1498"/>
      <c r="Q132" s="1498"/>
      <c r="R132" s="1498"/>
      <c r="S132" s="1498"/>
      <c r="T132" s="1498"/>
      <c r="U132" s="1498"/>
      <c r="V132" s="1498"/>
      <c r="W132" s="1498"/>
      <c r="X132" s="1498"/>
      <c r="Y132" s="1498"/>
      <c r="Z132" s="1498"/>
      <c r="AA132" s="1104">
        <f>Paramètres!AR195</f>
        <v>11.2</v>
      </c>
      <c r="AB132" s="1104">
        <f>Paramètres!AS195</f>
        <v>30.7</v>
      </c>
      <c r="AC132" s="1104">
        <f>Paramètres!AT195</f>
        <v>3.4</v>
      </c>
      <c r="AE132" s="618">
        <f t="shared" si="27"/>
        <v>11.2</v>
      </c>
      <c r="AF132" s="618">
        <f t="shared" si="27"/>
        <v>30.7</v>
      </c>
      <c r="AG132" s="618">
        <f t="shared" si="27"/>
        <v>3.4</v>
      </c>
      <c r="AI132" s="849">
        <f>Paramètres!AV195</f>
        <v>0.3</v>
      </c>
      <c r="AJ132" s="849">
        <f>Paramètres!AW195</f>
        <v>0.85</v>
      </c>
      <c r="AK132" s="849">
        <f>Paramètres!AX195</f>
        <v>1</v>
      </c>
    </row>
    <row r="133" spans="1:37" x14ac:dyDescent="0.2">
      <c r="A133" s="1164"/>
      <c r="B133" s="691"/>
      <c r="C133" s="11" t="s">
        <v>792</v>
      </c>
      <c r="D133" s="614"/>
      <c r="E133" s="1695"/>
      <c r="F133" s="617"/>
      <c r="G133" s="617"/>
      <c r="H133" s="617"/>
      <c r="I133" s="614"/>
      <c r="J133" s="1900">
        <f t="shared" si="26"/>
        <v>0</v>
      </c>
      <c r="K133" s="1900">
        <f t="shared" si="26"/>
        <v>0</v>
      </c>
      <c r="L133" s="1901">
        <f t="shared" si="26"/>
        <v>0</v>
      </c>
      <c r="M133" s="1164"/>
      <c r="N133" s="1498"/>
      <c r="O133" s="1498"/>
      <c r="P133" s="1498"/>
      <c r="Q133" s="1498"/>
      <c r="R133" s="1498"/>
      <c r="S133" s="1498"/>
      <c r="T133" s="1498"/>
      <c r="U133" s="1498"/>
      <c r="V133" s="1498"/>
      <c r="W133" s="1498"/>
      <c r="X133" s="1498"/>
      <c r="Y133" s="1498"/>
      <c r="Z133" s="1498"/>
      <c r="AA133" s="1104">
        <f>Paramètres!AR196</f>
        <v>2.2999999999999998</v>
      </c>
      <c r="AB133" s="1104">
        <f>Paramètres!AS196</f>
        <v>2.2999999999999998</v>
      </c>
      <c r="AC133" s="1104">
        <f>Paramètres!AT196</f>
        <v>2.8</v>
      </c>
      <c r="AE133" s="618">
        <f t="shared" si="27"/>
        <v>2.2999999999999998</v>
      </c>
      <c r="AF133" s="618">
        <f t="shared" si="27"/>
        <v>2.2999999999999998</v>
      </c>
      <c r="AG133" s="618">
        <f t="shared" si="27"/>
        <v>2.8</v>
      </c>
      <c r="AI133" s="849">
        <f>Paramètres!AV196</f>
        <v>0.3</v>
      </c>
      <c r="AJ133" s="849">
        <f>Paramètres!AW196</f>
        <v>0.85</v>
      </c>
      <c r="AK133" s="849">
        <f>Paramètres!AX196</f>
        <v>1</v>
      </c>
    </row>
    <row r="134" spans="1:37" x14ac:dyDescent="0.2">
      <c r="A134" s="1164"/>
      <c r="B134" s="691"/>
      <c r="C134" s="11" t="s">
        <v>794</v>
      </c>
      <c r="D134" s="614"/>
      <c r="E134" s="1695"/>
      <c r="F134" s="617"/>
      <c r="G134" s="617"/>
      <c r="H134" s="617"/>
      <c r="I134" s="614"/>
      <c r="J134" s="1900">
        <f t="shared" si="26"/>
        <v>0</v>
      </c>
      <c r="K134" s="1900">
        <f t="shared" si="26"/>
        <v>0</v>
      </c>
      <c r="L134" s="1901">
        <f t="shared" si="26"/>
        <v>0</v>
      </c>
      <c r="M134" s="1164"/>
      <c r="N134" s="1498"/>
      <c r="O134" s="1498"/>
      <c r="P134" s="1498"/>
      <c r="Q134" s="1498"/>
      <c r="R134" s="1498"/>
      <c r="S134" s="1498"/>
      <c r="T134" s="1498"/>
      <c r="U134" s="1498"/>
      <c r="V134" s="1498"/>
      <c r="W134" s="1498"/>
      <c r="X134" s="1498"/>
      <c r="Y134" s="1498"/>
      <c r="Z134" s="1498"/>
      <c r="AA134" s="1104">
        <f>Paramètres!AR197</f>
        <v>6.5</v>
      </c>
      <c r="AB134" s="1104">
        <f>Paramètres!AS197</f>
        <v>9.5</v>
      </c>
      <c r="AC134" s="1104">
        <f>Paramètres!AT197</f>
        <v>8</v>
      </c>
      <c r="AE134" s="618">
        <f>IF(ISBLANK(F134),AA134,F134)</f>
        <v>6.5</v>
      </c>
      <c r="AF134" s="618">
        <f>IF(ISBLANK(G134),AB134,G134)</f>
        <v>9.5</v>
      </c>
      <c r="AG134" s="618">
        <f>IF(ISBLANK(H134),AC134,H134)</f>
        <v>8</v>
      </c>
      <c r="AI134" s="849">
        <f>Paramètres!AV197</f>
        <v>0.2</v>
      </c>
      <c r="AJ134" s="849">
        <f>Paramètres!AW197</f>
        <v>0.85</v>
      </c>
      <c r="AK134" s="849">
        <f>Paramètres!AX197</f>
        <v>1</v>
      </c>
    </row>
    <row r="135" spans="1:37" x14ac:dyDescent="0.2">
      <c r="A135" s="1164"/>
      <c r="B135" s="691"/>
      <c r="C135" s="11"/>
      <c r="D135" s="614"/>
      <c r="E135" s="1697"/>
      <c r="F135" s="3000" t="s">
        <v>658</v>
      </c>
      <c r="G135" s="3000"/>
      <c r="H135" s="3000"/>
      <c r="I135" s="614"/>
      <c r="J135" s="1881"/>
      <c r="K135" s="1881"/>
      <c r="L135" s="1889"/>
      <c r="M135" s="1164"/>
      <c r="N135" s="1498"/>
      <c r="O135" s="1498"/>
      <c r="P135" s="1498"/>
      <c r="Q135" s="1498"/>
      <c r="R135" s="1498"/>
      <c r="S135" s="1498"/>
      <c r="T135" s="1498"/>
      <c r="U135" s="1498"/>
      <c r="V135" s="1498"/>
      <c r="W135" s="1498"/>
      <c r="X135" s="1498"/>
      <c r="Y135" s="1498"/>
      <c r="Z135" s="1498"/>
    </row>
    <row r="136" spans="1:37" x14ac:dyDescent="0.2">
      <c r="A136" s="1164"/>
      <c r="B136" s="691"/>
      <c r="C136" s="11" t="s">
        <v>495</v>
      </c>
      <c r="D136" s="614"/>
      <c r="E136" s="1695"/>
      <c r="F136" s="617"/>
      <c r="G136" s="617"/>
      <c r="H136" s="617"/>
      <c r="I136" s="614"/>
      <c r="J136" s="1900">
        <f>$E136*AE136*AI136</f>
        <v>0</v>
      </c>
      <c r="K136" s="1900">
        <f>$E136*AF136*AJ136</f>
        <v>0</v>
      </c>
      <c r="L136" s="1901">
        <f>$E136*AG136*AK136</f>
        <v>0</v>
      </c>
      <c r="M136" s="1164"/>
      <c r="N136" s="1498"/>
      <c r="O136" s="1498"/>
      <c r="P136" s="1498"/>
      <c r="Q136" s="1498"/>
      <c r="R136" s="1498"/>
      <c r="S136" s="1498"/>
      <c r="T136" s="1498"/>
      <c r="U136" s="1498"/>
      <c r="V136" s="1498"/>
      <c r="W136" s="1498"/>
      <c r="X136" s="1498"/>
      <c r="Y136" s="1498"/>
      <c r="Z136" s="1498"/>
      <c r="AA136" s="849">
        <f>Paramètres!AR200</f>
        <v>0.06</v>
      </c>
      <c r="AB136" s="849">
        <f>Paramètres!AS200</f>
        <v>0.28999999999999998</v>
      </c>
      <c r="AC136" s="849">
        <f>Paramètres!AT200</f>
        <v>2.09</v>
      </c>
      <c r="AE136" s="618">
        <f>IF(ISBLANK(F136),AA136,F136)</f>
        <v>0.06</v>
      </c>
      <c r="AF136" s="618">
        <f>IF(ISBLANK(G136),AB136,G136)</f>
        <v>0.28999999999999998</v>
      </c>
      <c r="AG136" s="618">
        <f>IF(ISBLANK(H136),AC136,H136)</f>
        <v>2.09</v>
      </c>
      <c r="AI136" s="849">
        <f>Paramètres!AV200</f>
        <v>0.3</v>
      </c>
      <c r="AJ136" s="849">
        <f>Paramètres!AW200</f>
        <v>0.85</v>
      </c>
      <c r="AK136" s="849">
        <f>Paramètres!AX200</f>
        <v>1</v>
      </c>
    </row>
    <row r="137" spans="1:37" ht="5.0999999999999996" customHeight="1" x14ac:dyDescent="0.2">
      <c r="A137" s="1164"/>
      <c r="B137" s="694"/>
      <c r="C137" s="622"/>
      <c r="D137" s="622"/>
      <c r="E137" s="622"/>
      <c r="F137" s="622"/>
      <c r="G137" s="622"/>
      <c r="H137" s="622"/>
      <c r="I137" s="622"/>
      <c r="J137" s="1881"/>
      <c r="K137" s="1881"/>
      <c r="L137" s="1889"/>
      <c r="M137" s="1164"/>
      <c r="N137" s="1498"/>
      <c r="O137" s="1498"/>
      <c r="P137" s="1498"/>
      <c r="Q137" s="1498"/>
      <c r="R137" s="1498"/>
      <c r="S137" s="1498"/>
      <c r="T137" s="1498"/>
      <c r="U137" s="1498"/>
      <c r="V137" s="1498"/>
      <c r="W137" s="1498"/>
      <c r="X137" s="1498"/>
      <c r="Y137" s="1498"/>
      <c r="Z137" s="1498"/>
    </row>
    <row r="138" spans="1:37" ht="12.75" customHeight="1" x14ac:dyDescent="0.2">
      <c r="A138" s="1164"/>
      <c r="B138" s="1389"/>
      <c r="C138" s="1387"/>
      <c r="D138" s="1387"/>
      <c r="E138" s="1384" t="s">
        <v>650</v>
      </c>
      <c r="F138" s="3254" t="s">
        <v>1772</v>
      </c>
      <c r="G138" s="3024"/>
      <c r="H138" s="3024"/>
      <c r="I138" s="1387"/>
      <c r="J138" s="1881"/>
      <c r="K138" s="1881"/>
      <c r="L138" s="1889"/>
      <c r="M138" s="1164"/>
      <c r="N138" s="1498"/>
      <c r="O138" s="1498"/>
      <c r="P138" s="1498"/>
      <c r="Q138" s="1498"/>
      <c r="R138" s="1498"/>
      <c r="S138" s="1498"/>
      <c r="T138" s="1498"/>
      <c r="U138" s="1498"/>
      <c r="V138" s="1498"/>
      <c r="W138" s="1498"/>
      <c r="X138" s="1498"/>
      <c r="Y138" s="1498"/>
      <c r="Z138" s="1498"/>
    </row>
    <row r="139" spans="1:37" ht="12.75" customHeight="1" x14ac:dyDescent="0.2">
      <c r="A139" s="1164"/>
      <c r="B139" s="1389"/>
      <c r="C139" s="1387"/>
      <c r="D139" s="1387"/>
      <c r="E139" s="2928" t="s">
        <v>801</v>
      </c>
      <c r="F139" s="1436" t="s">
        <v>625</v>
      </c>
      <c r="G139" s="1436" t="s">
        <v>187</v>
      </c>
      <c r="H139" s="1436" t="s">
        <v>665</v>
      </c>
      <c r="I139" s="1387"/>
      <c r="J139" s="1881"/>
      <c r="K139" s="1881"/>
      <c r="L139" s="1889"/>
      <c r="M139" s="1164"/>
      <c r="N139" s="1498"/>
      <c r="O139" s="1498"/>
      <c r="P139" s="1498"/>
      <c r="Q139" s="1498"/>
      <c r="R139" s="1498"/>
      <c r="S139" s="1498"/>
      <c r="T139" s="1498"/>
      <c r="U139" s="1498"/>
      <c r="V139" s="1498"/>
      <c r="W139" s="1498"/>
      <c r="X139" s="1498"/>
      <c r="Y139" s="1498"/>
      <c r="Z139" s="1498"/>
    </row>
    <row r="140" spans="1:37" ht="12.75" customHeight="1" x14ac:dyDescent="0.2">
      <c r="A140" s="1164"/>
      <c r="B140" s="1389"/>
      <c r="C140" s="1387"/>
      <c r="D140" s="1387"/>
      <c r="E140" s="2928" t="s">
        <v>2407</v>
      </c>
      <c r="F140" s="2997" t="s">
        <v>2410</v>
      </c>
      <c r="G140" s="3000"/>
      <c r="H140" s="3000"/>
      <c r="I140" s="1387"/>
      <c r="J140" s="1881"/>
      <c r="K140" s="1881"/>
      <c r="L140" s="1889"/>
      <c r="M140" s="1164"/>
      <c r="N140" s="1498"/>
      <c r="O140" s="1498"/>
      <c r="P140" s="1498"/>
      <c r="Q140" s="1498"/>
      <c r="R140" s="1498"/>
      <c r="S140" s="1498"/>
      <c r="T140" s="1498"/>
      <c r="U140" s="1498"/>
      <c r="V140" s="1498"/>
      <c r="W140" s="1498"/>
      <c r="X140" s="1498"/>
      <c r="Y140" s="1498"/>
      <c r="Z140" s="1498"/>
    </row>
    <row r="141" spans="1:37" ht="12.75" customHeight="1" x14ac:dyDescent="0.2">
      <c r="A141" s="1164"/>
      <c r="B141" s="1440" t="s">
        <v>1042</v>
      </c>
      <c r="C141" s="1445"/>
      <c r="D141" s="1445"/>
      <c r="E141" s="2930" t="s">
        <v>800</v>
      </c>
      <c r="F141" s="1446"/>
      <c r="G141" s="1444"/>
      <c r="H141" s="1444"/>
      <c r="I141" s="1445"/>
      <c r="J141" s="1881"/>
      <c r="K141" s="1881"/>
      <c r="L141" s="1889"/>
      <c r="M141" s="1164"/>
      <c r="N141" s="1498"/>
      <c r="O141" s="1498"/>
      <c r="P141" s="1498"/>
      <c r="Q141" s="1498"/>
      <c r="R141" s="1498"/>
      <c r="S141" s="1498"/>
      <c r="T141" s="1498"/>
      <c r="U141" s="1498"/>
      <c r="V141" s="1498"/>
      <c r="W141" s="1498"/>
      <c r="X141" s="1498"/>
      <c r="Y141" s="1498"/>
      <c r="Z141" s="1498"/>
    </row>
    <row r="142" spans="1:37" ht="12.75" customHeight="1" x14ac:dyDescent="0.2">
      <c r="A142" s="1164"/>
      <c r="B142" s="1425"/>
      <c r="C142" s="1441" t="s">
        <v>1043</v>
      </c>
      <c r="D142" s="1387"/>
      <c r="E142" s="1695"/>
      <c r="F142" s="617"/>
      <c r="G142" s="617"/>
      <c r="H142" s="617"/>
      <c r="I142" s="1387"/>
      <c r="J142" s="1900">
        <f t="shared" ref="J142:L144" si="28">$E142*AE142*AI142</f>
        <v>0</v>
      </c>
      <c r="K142" s="1900">
        <f t="shared" si="28"/>
        <v>0</v>
      </c>
      <c r="L142" s="1901">
        <f t="shared" si="28"/>
        <v>0</v>
      </c>
      <c r="M142" s="1164"/>
      <c r="N142" s="1498"/>
      <c r="O142" s="1498"/>
      <c r="P142" s="1498"/>
      <c r="Q142" s="1498"/>
      <c r="R142" s="1498"/>
      <c r="S142" s="1498"/>
      <c r="T142" s="1498"/>
      <c r="U142" s="1498"/>
      <c r="V142" s="1498"/>
      <c r="W142" s="1498"/>
      <c r="X142" s="1498"/>
      <c r="Y142" s="1498"/>
      <c r="Z142" s="1498"/>
      <c r="AA142" s="849">
        <f>Paramètres!AR204</f>
        <v>4</v>
      </c>
      <c r="AB142" s="849">
        <f>Paramètres!AS204</f>
        <v>1.5</v>
      </c>
      <c r="AC142" s="849">
        <f>Paramètres!AT204</f>
        <v>6</v>
      </c>
      <c r="AE142" s="1390">
        <f t="shared" ref="AE142:AG144" si="29">IF(ISBLANK(F142),AA142,F142)</f>
        <v>4</v>
      </c>
      <c r="AF142" s="1390">
        <f t="shared" si="29"/>
        <v>1.5</v>
      </c>
      <c r="AG142" s="1390">
        <f t="shared" si="29"/>
        <v>6</v>
      </c>
      <c r="AI142" s="849">
        <f>+Paramètres!AV204</f>
        <v>0.7</v>
      </c>
      <c r="AJ142" s="849">
        <f>+Paramètres!AW204</f>
        <v>0.8</v>
      </c>
      <c r="AK142" s="849">
        <f>+Paramètres!AX204</f>
        <v>1</v>
      </c>
    </row>
    <row r="143" spans="1:37" ht="12.75" customHeight="1" x14ac:dyDescent="0.2">
      <c r="A143" s="1164"/>
      <c r="B143" s="1425"/>
      <c r="C143" s="1441" t="s">
        <v>1044</v>
      </c>
      <c r="D143" s="1445"/>
      <c r="E143" s="1695"/>
      <c r="F143" s="617"/>
      <c r="G143" s="617"/>
      <c r="H143" s="617"/>
      <c r="I143" s="1445"/>
      <c r="J143" s="1900">
        <f t="shared" si="28"/>
        <v>0</v>
      </c>
      <c r="K143" s="1900">
        <f t="shared" si="28"/>
        <v>0</v>
      </c>
      <c r="L143" s="1901">
        <f t="shared" si="28"/>
        <v>0</v>
      </c>
      <c r="M143" s="1164"/>
      <c r="N143" s="1498"/>
      <c r="O143" s="1498"/>
      <c r="P143" s="1498"/>
      <c r="Q143" s="1498"/>
      <c r="R143" s="1498"/>
      <c r="S143" s="1498"/>
      <c r="T143" s="1498"/>
      <c r="U143" s="1498"/>
      <c r="V143" s="1498"/>
      <c r="W143" s="1498"/>
      <c r="X143" s="1498"/>
      <c r="Y143" s="1498"/>
      <c r="Z143" s="1498"/>
      <c r="AA143" s="849">
        <f>Paramètres!AR205</f>
        <v>7</v>
      </c>
      <c r="AB143" s="849">
        <f>Paramètres!AS205</f>
        <v>4</v>
      </c>
      <c r="AC143" s="849">
        <f>Paramètres!AT205</f>
        <v>8</v>
      </c>
      <c r="AE143" s="1447">
        <f t="shared" si="29"/>
        <v>7</v>
      </c>
      <c r="AF143" s="1447">
        <f t="shared" si="29"/>
        <v>4</v>
      </c>
      <c r="AG143" s="1447">
        <f t="shared" si="29"/>
        <v>8</v>
      </c>
      <c r="AI143" s="849">
        <f>+Paramètres!AV205</f>
        <v>0.7</v>
      </c>
      <c r="AJ143" s="849">
        <f>+Paramètres!AW205</f>
        <v>0.8</v>
      </c>
      <c r="AK143" s="849">
        <f>+Paramètres!AX205</f>
        <v>1</v>
      </c>
    </row>
    <row r="144" spans="1:37" ht="12.75" customHeight="1" x14ac:dyDescent="0.2">
      <c r="A144" s="1164"/>
      <c r="B144" s="1425"/>
      <c r="C144" s="1441" t="s">
        <v>743</v>
      </c>
      <c r="D144" s="1445"/>
      <c r="E144" s="1695"/>
      <c r="F144" s="617"/>
      <c r="G144" s="617"/>
      <c r="H144" s="617"/>
      <c r="I144" s="1445"/>
      <c r="J144" s="1900">
        <f t="shared" si="28"/>
        <v>0</v>
      </c>
      <c r="K144" s="1900">
        <f t="shared" si="28"/>
        <v>0</v>
      </c>
      <c r="L144" s="1901">
        <f t="shared" si="28"/>
        <v>0</v>
      </c>
      <c r="M144" s="1164"/>
      <c r="N144" s="1498"/>
      <c r="O144" s="1498"/>
      <c r="P144" s="1498"/>
      <c r="Q144" s="1498"/>
      <c r="R144" s="1498"/>
      <c r="S144" s="1498"/>
      <c r="T144" s="1498"/>
      <c r="U144" s="1498"/>
      <c r="V144" s="1498"/>
      <c r="W144" s="1498"/>
      <c r="X144" s="1498"/>
      <c r="Y144" s="1498"/>
      <c r="Z144" s="1498"/>
      <c r="AA144" s="849">
        <f>Paramètres!AR206</f>
        <v>15</v>
      </c>
      <c r="AB144" s="849">
        <f>Paramètres!AS206</f>
        <v>7</v>
      </c>
      <c r="AC144" s="849">
        <f>Paramètres!AT206</f>
        <v>18</v>
      </c>
      <c r="AE144" s="1447">
        <f t="shared" si="29"/>
        <v>15</v>
      </c>
      <c r="AF144" s="1447">
        <f t="shared" si="29"/>
        <v>7</v>
      </c>
      <c r="AG144" s="1447">
        <f t="shared" si="29"/>
        <v>18</v>
      </c>
      <c r="AI144" s="849">
        <f>+Paramètres!AV206</f>
        <v>0.7</v>
      </c>
      <c r="AJ144" s="849">
        <f>+Paramètres!AW206</f>
        <v>0.8</v>
      </c>
      <c r="AK144" s="849">
        <f>+Paramètres!AX206</f>
        <v>1</v>
      </c>
    </row>
    <row r="145" spans="1:40" ht="5.0999999999999996" customHeight="1" x14ac:dyDescent="0.2">
      <c r="A145" s="1164"/>
      <c r="B145" s="1389"/>
      <c r="C145" s="1387"/>
      <c r="D145" s="1387"/>
      <c r="E145" s="1387"/>
      <c r="F145" s="1387"/>
      <c r="G145" s="1387"/>
      <c r="H145" s="1387"/>
      <c r="I145" s="1387"/>
      <c r="J145" s="1881"/>
      <c r="K145" s="1881"/>
      <c r="L145" s="1889"/>
      <c r="M145" s="1164"/>
      <c r="N145" s="1498"/>
      <c r="O145" s="1498"/>
      <c r="P145" s="1498"/>
      <c r="Q145" s="1498"/>
      <c r="R145" s="1498"/>
      <c r="S145" s="1498"/>
      <c r="T145" s="1498"/>
      <c r="U145" s="1498"/>
      <c r="V145" s="1498"/>
      <c r="W145" s="1498"/>
      <c r="X145" s="1498"/>
      <c r="Y145" s="1498"/>
      <c r="Z145" s="1498"/>
    </row>
    <row r="146" spans="1:40" ht="12.75" customHeight="1" x14ac:dyDescent="0.2">
      <c r="A146" s="1164"/>
      <c r="B146" s="1438"/>
      <c r="C146" s="1437"/>
      <c r="D146" s="1437"/>
      <c r="E146" s="1435" t="s">
        <v>650</v>
      </c>
      <c r="F146" s="3254" t="s">
        <v>1772</v>
      </c>
      <c r="G146" s="3024"/>
      <c r="H146" s="3024"/>
      <c r="I146" s="1437"/>
      <c r="J146" s="1881"/>
      <c r="K146" s="1881"/>
      <c r="L146" s="1889"/>
      <c r="M146" s="1164"/>
      <c r="N146" s="1498"/>
      <c r="O146" s="1498"/>
      <c r="P146" s="1498"/>
      <c r="Q146" s="1498"/>
      <c r="R146" s="1498"/>
      <c r="S146" s="1498"/>
      <c r="T146" s="1498"/>
      <c r="U146" s="1498"/>
      <c r="V146" s="1498"/>
      <c r="W146" s="1498"/>
      <c r="X146" s="1498"/>
      <c r="Y146" s="1498"/>
      <c r="Z146" s="1498"/>
    </row>
    <row r="147" spans="1:40" ht="12.75" customHeight="1" x14ac:dyDescent="0.2">
      <c r="A147" s="1164"/>
      <c r="B147" s="1440" t="s">
        <v>1040</v>
      </c>
      <c r="C147" s="1437"/>
      <c r="D147" s="1437"/>
      <c r="E147" s="1435" t="s">
        <v>870</v>
      </c>
      <c r="F147" s="1436" t="s">
        <v>625</v>
      </c>
      <c r="G147" s="1436" t="s">
        <v>187</v>
      </c>
      <c r="H147" s="1436" t="s">
        <v>665</v>
      </c>
      <c r="I147" s="1437"/>
      <c r="J147" s="1881"/>
      <c r="K147" s="1881"/>
      <c r="L147" s="1889"/>
      <c r="M147" s="1164"/>
      <c r="N147" s="1498"/>
      <c r="O147" s="1498"/>
      <c r="P147" s="1498"/>
      <c r="Q147" s="1498"/>
      <c r="R147" s="1498"/>
      <c r="S147" s="1498"/>
      <c r="T147" s="1498"/>
      <c r="U147" s="1498"/>
      <c r="V147" s="1498"/>
      <c r="W147" s="1498"/>
      <c r="X147" s="1498"/>
      <c r="Y147" s="1498"/>
      <c r="Z147" s="1498"/>
    </row>
    <row r="148" spans="1:40" ht="12.75" customHeight="1" x14ac:dyDescent="0.2">
      <c r="A148" s="1164"/>
      <c r="B148" s="1440"/>
      <c r="C148" s="1437"/>
      <c r="D148" s="1437"/>
      <c r="E148" s="1435"/>
      <c r="F148" s="2997" t="s">
        <v>658</v>
      </c>
      <c r="G148" s="3000"/>
      <c r="H148" s="3000"/>
      <c r="I148" s="1437"/>
      <c r="J148" s="1881"/>
      <c r="K148" s="1881"/>
      <c r="L148" s="1889"/>
      <c r="M148" s="1164"/>
      <c r="N148" s="1498"/>
      <c r="O148" s="1498"/>
      <c r="P148" s="1498"/>
      <c r="Q148" s="1498"/>
      <c r="R148" s="1498"/>
      <c r="S148" s="1498"/>
      <c r="T148" s="1498"/>
      <c r="U148" s="1498"/>
      <c r="V148" s="1498"/>
      <c r="W148" s="1498"/>
      <c r="X148" s="1498"/>
      <c r="Y148" s="1498"/>
      <c r="Z148" s="1498"/>
    </row>
    <row r="149" spans="1:40" ht="12.75" customHeight="1" x14ac:dyDescent="0.2">
      <c r="A149" s="1164"/>
      <c r="B149" s="1440"/>
      <c r="C149" s="1441" t="s">
        <v>1043</v>
      </c>
      <c r="D149" s="1437"/>
      <c r="E149" s="1695"/>
      <c r="F149" s="617"/>
      <c r="G149" s="617"/>
      <c r="H149" s="617"/>
      <c r="I149" s="1437"/>
      <c r="J149" s="1900">
        <f t="shared" ref="J149:L151" si="30">$E149*AE149*AI149</f>
        <v>0</v>
      </c>
      <c r="K149" s="1900">
        <f t="shared" si="30"/>
        <v>0</v>
      </c>
      <c r="L149" s="1901">
        <f t="shared" si="30"/>
        <v>0</v>
      </c>
      <c r="M149" s="1164"/>
      <c r="N149" s="1498"/>
      <c r="O149" s="1498"/>
      <c r="P149" s="1498"/>
      <c r="Q149" s="1498"/>
      <c r="R149" s="1498"/>
      <c r="S149" s="1498"/>
      <c r="T149" s="1498"/>
      <c r="U149" s="1498"/>
      <c r="V149" s="1498"/>
      <c r="W149" s="1498"/>
      <c r="X149" s="1498"/>
      <c r="Y149" s="1498"/>
      <c r="Z149" s="1498"/>
      <c r="AA149" s="849">
        <f>Paramètres!AR211</f>
        <v>2</v>
      </c>
      <c r="AB149" s="849">
        <f>Paramètres!AS211</f>
        <v>2.5</v>
      </c>
      <c r="AC149" s="849">
        <f>Paramètres!AT211</f>
        <v>2</v>
      </c>
      <c r="AE149" s="1439">
        <f t="shared" ref="AE149:AG151" si="31">IF(ISBLANK(F149),AA149,F149)</f>
        <v>2</v>
      </c>
      <c r="AF149" s="1439">
        <f t="shared" si="31"/>
        <v>2.5</v>
      </c>
      <c r="AG149" s="1439">
        <f t="shared" si="31"/>
        <v>2</v>
      </c>
      <c r="AI149" s="849">
        <f>+Paramètres!AV211</f>
        <v>0.7</v>
      </c>
      <c r="AJ149" s="849">
        <f>+Paramètres!AW211</f>
        <v>0.8</v>
      </c>
      <c r="AK149" s="849">
        <f>+Paramètres!AX211</f>
        <v>1</v>
      </c>
    </row>
    <row r="150" spans="1:40" ht="12.75" customHeight="1" x14ac:dyDescent="0.2">
      <c r="A150" s="1164"/>
      <c r="B150" s="1438"/>
      <c r="C150" s="1441" t="s">
        <v>1045</v>
      </c>
      <c r="D150" s="1437"/>
      <c r="E150" s="1695"/>
      <c r="F150" s="617"/>
      <c r="G150" s="617"/>
      <c r="H150" s="617"/>
      <c r="I150" s="1437"/>
      <c r="J150" s="1900">
        <f t="shared" si="30"/>
        <v>0</v>
      </c>
      <c r="K150" s="1900">
        <f t="shared" si="30"/>
        <v>0</v>
      </c>
      <c r="L150" s="1901">
        <f t="shared" si="30"/>
        <v>0</v>
      </c>
      <c r="M150" s="1164"/>
      <c r="N150" s="1498"/>
      <c r="O150" s="1498"/>
      <c r="P150" s="1498"/>
      <c r="Q150" s="1498"/>
      <c r="R150" s="1498"/>
      <c r="S150" s="1498"/>
      <c r="T150" s="1498"/>
      <c r="U150" s="1498"/>
      <c r="V150" s="1498"/>
      <c r="W150" s="1498"/>
      <c r="X150" s="1498"/>
      <c r="Y150" s="1498"/>
      <c r="Z150" s="1498"/>
      <c r="AA150" s="849">
        <f>Paramètres!AR212</f>
        <v>7</v>
      </c>
      <c r="AB150" s="849">
        <f>Paramètres!AS212</f>
        <v>7</v>
      </c>
      <c r="AC150" s="849">
        <f>Paramètres!AT212</f>
        <v>1</v>
      </c>
      <c r="AE150" s="1439">
        <f t="shared" si="31"/>
        <v>7</v>
      </c>
      <c r="AF150" s="1439">
        <f t="shared" si="31"/>
        <v>7</v>
      </c>
      <c r="AG150" s="1439">
        <f t="shared" si="31"/>
        <v>1</v>
      </c>
      <c r="AI150" s="849">
        <f>+Paramètres!AV212</f>
        <v>0.7</v>
      </c>
      <c r="AJ150" s="849">
        <f>+Paramètres!AW212</f>
        <v>0.8</v>
      </c>
      <c r="AK150" s="849">
        <f>+Paramètres!AX212</f>
        <v>1</v>
      </c>
    </row>
    <row r="151" spans="1:40" ht="12.75" customHeight="1" x14ac:dyDescent="0.2">
      <c r="A151" s="1164"/>
      <c r="B151" s="1438"/>
      <c r="C151" s="1441" t="s">
        <v>743</v>
      </c>
      <c r="D151" s="1437"/>
      <c r="E151" s="1695"/>
      <c r="F151" s="617"/>
      <c r="G151" s="617"/>
      <c r="H151" s="617"/>
      <c r="I151" s="1437"/>
      <c r="J151" s="1900">
        <f t="shared" si="30"/>
        <v>0</v>
      </c>
      <c r="K151" s="1900">
        <f t="shared" si="30"/>
        <v>0</v>
      </c>
      <c r="L151" s="1901">
        <f t="shared" si="30"/>
        <v>0</v>
      </c>
      <c r="M151" s="1164"/>
      <c r="N151" s="1498"/>
      <c r="O151" s="1498"/>
      <c r="P151" s="1498"/>
      <c r="Q151" s="1498"/>
      <c r="R151" s="1498"/>
      <c r="S151" s="1498"/>
      <c r="T151" s="1498"/>
      <c r="U151" s="1498"/>
      <c r="V151" s="1498"/>
      <c r="W151" s="1498"/>
      <c r="X151" s="1498"/>
      <c r="Y151" s="1498"/>
      <c r="Z151" s="1498"/>
      <c r="AA151" s="849">
        <f>Paramètres!AR213</f>
        <v>9</v>
      </c>
      <c r="AB151" s="849">
        <f>Paramètres!AS213</f>
        <v>8</v>
      </c>
      <c r="AC151" s="849">
        <f>Paramètres!AT213</f>
        <v>2</v>
      </c>
      <c r="AE151" s="1439">
        <f t="shared" si="31"/>
        <v>9</v>
      </c>
      <c r="AF151" s="1439">
        <f t="shared" si="31"/>
        <v>8</v>
      </c>
      <c r="AG151" s="1439">
        <f t="shared" si="31"/>
        <v>2</v>
      </c>
      <c r="AI151" s="849">
        <f>+Paramètres!AV213</f>
        <v>0.7</v>
      </c>
      <c r="AJ151" s="849">
        <f>+Paramètres!AW213</f>
        <v>0.8</v>
      </c>
      <c r="AK151" s="849">
        <f>+Paramètres!AX213</f>
        <v>1</v>
      </c>
    </row>
    <row r="152" spans="1:40" ht="5.0999999999999996" customHeight="1" x14ac:dyDescent="0.2">
      <c r="A152" s="1164"/>
      <c r="B152" s="1438"/>
      <c r="C152" s="1437"/>
      <c r="D152" s="1437"/>
      <c r="E152" s="1437"/>
      <c r="F152" s="1437"/>
      <c r="G152" s="1437"/>
      <c r="H152" s="1437"/>
      <c r="I152" s="1437"/>
      <c r="J152" s="1463"/>
      <c r="K152" s="1463"/>
      <c r="L152" s="1902"/>
      <c r="M152" s="1164"/>
      <c r="N152" s="1498"/>
      <c r="O152" s="1498"/>
      <c r="P152" s="1498"/>
      <c r="Q152" s="1498"/>
      <c r="R152" s="1498"/>
      <c r="S152" s="1498"/>
      <c r="T152" s="1498"/>
      <c r="U152" s="1498"/>
      <c r="V152" s="1498"/>
      <c r="W152" s="1498"/>
      <c r="X152" s="1498"/>
      <c r="Y152" s="1498"/>
      <c r="Z152" s="1498"/>
    </row>
    <row r="153" spans="1:40" ht="18" x14ac:dyDescent="0.25">
      <c r="A153" s="1164"/>
      <c r="B153" s="694"/>
      <c r="C153" s="622"/>
      <c r="D153" s="622"/>
      <c r="E153" s="622"/>
      <c r="F153" s="1463"/>
      <c r="G153" s="1491"/>
      <c r="H153" s="1492" t="s">
        <v>917</v>
      </c>
      <c r="I153" s="1490"/>
      <c r="J153" s="2931">
        <f>SUM(J73:J151)</f>
        <v>0</v>
      </c>
      <c r="K153" s="2931">
        <f>SUM(K73:K151)</f>
        <v>0</v>
      </c>
      <c r="L153" s="2932">
        <f>SUM(L73:L151)</f>
        <v>0</v>
      </c>
      <c r="M153" s="1164"/>
      <c r="N153" s="1498"/>
      <c r="O153" s="1498"/>
      <c r="P153" s="1498"/>
      <c r="Q153" s="1498"/>
      <c r="R153" s="1498"/>
      <c r="S153" s="1498"/>
      <c r="T153" s="1498"/>
      <c r="U153" s="1498"/>
      <c r="V153" s="1498"/>
      <c r="W153" s="1498"/>
      <c r="X153" s="1498"/>
      <c r="Y153" s="1498"/>
      <c r="Z153" s="1498"/>
    </row>
    <row r="154" spans="1:40" ht="5.0999999999999996" customHeight="1" x14ac:dyDescent="0.2">
      <c r="A154" s="1164"/>
      <c r="B154" s="694"/>
      <c r="C154" s="622"/>
      <c r="D154" s="622"/>
      <c r="E154" s="622"/>
      <c r="F154" s="622"/>
      <c r="G154" s="622"/>
      <c r="H154" s="622"/>
      <c r="I154" s="622"/>
      <c r="J154" s="1463"/>
      <c r="K154" s="1463"/>
      <c r="L154" s="1875"/>
      <c r="M154" s="1164"/>
      <c r="N154" s="1498"/>
      <c r="O154" s="1498"/>
      <c r="P154" s="1498"/>
      <c r="Q154" s="1498"/>
      <c r="R154" s="1498"/>
      <c r="S154" s="1498"/>
      <c r="T154" s="1498"/>
      <c r="U154" s="1498"/>
      <c r="V154" s="1498"/>
      <c r="W154" s="1498"/>
      <c r="X154" s="1498"/>
      <c r="Y154" s="1498"/>
      <c r="Z154" s="1498"/>
    </row>
    <row r="155" spans="1:40" x14ac:dyDescent="0.2">
      <c r="A155" s="1164"/>
      <c r="B155" s="3214" t="s">
        <v>918</v>
      </c>
      <c r="C155" s="3215"/>
      <c r="D155" s="3215"/>
      <c r="E155" s="3215"/>
      <c r="F155" s="3215"/>
      <c r="G155" s="3215"/>
      <c r="H155" s="622"/>
      <c r="I155" s="622"/>
      <c r="J155" s="1872" t="s">
        <v>625</v>
      </c>
      <c r="K155" s="1463"/>
      <c r="L155" s="1875"/>
      <c r="M155" s="1164"/>
      <c r="N155" s="1498"/>
      <c r="O155" s="1498"/>
      <c r="P155" s="1498"/>
      <c r="Q155" s="1498"/>
      <c r="R155" s="1498"/>
      <c r="S155" s="1498"/>
      <c r="T155" s="1498"/>
      <c r="U155" s="1498"/>
      <c r="V155" s="1498"/>
      <c r="W155" s="1498"/>
      <c r="X155" s="1498"/>
      <c r="Y155" s="1498"/>
      <c r="Z155" s="1498"/>
    </row>
    <row r="156" spans="1:40" ht="5.0999999999999996" customHeight="1" x14ac:dyDescent="0.2">
      <c r="A156" s="1164"/>
      <c r="B156" s="694"/>
      <c r="C156" s="622"/>
      <c r="D156" s="622"/>
      <c r="E156" s="622"/>
      <c r="F156" s="622"/>
      <c r="G156" s="622"/>
      <c r="H156" s="622"/>
      <c r="I156" s="622"/>
      <c r="J156" s="1463"/>
      <c r="K156" s="1463"/>
      <c r="L156" s="1875"/>
      <c r="M156" s="1164"/>
      <c r="N156" s="1498"/>
      <c r="O156" s="1498"/>
      <c r="P156" s="1498"/>
      <c r="Q156" s="1498"/>
      <c r="R156" s="1498"/>
      <c r="S156" s="1498"/>
      <c r="T156" s="1498"/>
      <c r="U156" s="1498"/>
      <c r="V156" s="1498"/>
      <c r="W156" s="1498"/>
      <c r="X156" s="1498"/>
      <c r="Y156" s="1498"/>
      <c r="Z156" s="1498"/>
    </row>
    <row r="157" spans="1:40" x14ac:dyDescent="0.2">
      <c r="A157" s="1164"/>
      <c r="B157" s="694"/>
      <c r="C157" s="622"/>
      <c r="D157" s="3270" t="e">
        <f>IF(Cu_Temp=AA29,"Fertilisation N interdite derrière une prairie juste retournée",IF(J157&gt;2,"Solde à couvrir par une fertilisation minérale",IF(J157&lt;-2,"Excédent: revoir les doses d'effluents épandus",IF(OR(J157&lt;=2,J157&gt;=-2),"Aucune fertilisation minérale n'est nécessaire","..."))))</f>
        <v>#N/A</v>
      </c>
      <c r="E157" s="3270"/>
      <c r="F157" s="3270"/>
      <c r="G157" s="3270"/>
      <c r="H157" s="3270"/>
      <c r="I157" s="3270"/>
      <c r="J157" s="1871" t="e">
        <f>IF(Cu_Temp=AA29,"",IF(J55-J153&gt;2,J55-J153,""))</f>
        <v>#N/A</v>
      </c>
      <c r="K157" s="622"/>
      <c r="L157" s="1178"/>
      <c r="M157" s="1164"/>
      <c r="N157" s="1498"/>
      <c r="O157" s="1498"/>
      <c r="P157" s="1498"/>
      <c r="Q157" s="1498"/>
      <c r="R157" s="1498"/>
      <c r="S157" s="1498"/>
      <c r="T157" s="1498"/>
      <c r="U157" s="1498"/>
      <c r="V157" s="1498"/>
      <c r="W157" s="1498"/>
      <c r="X157" s="1498"/>
      <c r="Y157" s="1498"/>
      <c r="Z157" s="1498"/>
    </row>
    <row r="158" spans="1:40" ht="5.0999999999999996" customHeight="1" x14ac:dyDescent="0.2">
      <c r="A158" s="1164"/>
      <c r="B158" s="694"/>
      <c r="C158" s="622"/>
      <c r="D158" s="622"/>
      <c r="E158" s="622"/>
      <c r="F158" s="622"/>
      <c r="G158" s="622"/>
      <c r="H158" s="622"/>
      <c r="I158" s="622"/>
      <c r="J158" s="622"/>
      <c r="K158" s="622"/>
      <c r="L158" s="1178"/>
      <c r="M158" s="1164"/>
      <c r="N158" s="1498"/>
      <c r="O158" s="1498"/>
      <c r="P158" s="1498"/>
      <c r="Q158" s="1498"/>
      <c r="R158" s="1498"/>
      <c r="S158" s="1498"/>
      <c r="T158" s="1498"/>
      <c r="U158" s="1498"/>
      <c r="V158" s="1498"/>
      <c r="W158" s="1498"/>
      <c r="X158" s="1498"/>
      <c r="Y158" s="1498"/>
      <c r="Z158" s="1498"/>
    </row>
    <row r="159" spans="1:40" x14ac:dyDescent="0.2">
      <c r="A159" s="1164"/>
      <c r="B159" s="694"/>
      <c r="C159" s="622"/>
      <c r="D159" s="622"/>
      <c r="E159" s="622"/>
      <c r="F159" s="622"/>
      <c r="G159" s="622"/>
      <c r="H159" s="622"/>
      <c r="I159" s="622"/>
      <c r="J159" s="622"/>
      <c r="K159" s="1872" t="s">
        <v>187</v>
      </c>
      <c r="L159" s="1178"/>
      <c r="M159" s="1164"/>
      <c r="N159" s="1498"/>
      <c r="O159" s="1498"/>
      <c r="P159" s="1498"/>
      <c r="Q159" s="1498"/>
      <c r="R159" s="1498"/>
      <c r="S159" s="1498"/>
      <c r="T159" s="1498"/>
      <c r="U159" s="1498"/>
      <c r="V159" s="1498"/>
      <c r="W159" s="1498"/>
      <c r="X159" s="1498"/>
      <c r="Y159" s="1498"/>
      <c r="Z159" s="1498"/>
    </row>
    <row r="160" spans="1:40" x14ac:dyDescent="0.2">
      <c r="A160" s="1164"/>
      <c r="B160" s="694"/>
      <c r="C160" s="622"/>
      <c r="D160" s="3270" t="e">
        <f>IF(G17&gt;=AI160,AN160,IF(K160&gt;2,"Solde à couvrir par une fertilisation minérale",IF(K160&lt;-2,"Excédent: revoir les doses d'effluents épandus",IF(OR(K160&lt;=2,K160&gt;=-2),"Aucune fertilisation minérale n'est nécessaire","..."))))</f>
        <v>#N/A</v>
      </c>
      <c r="E160" s="3270"/>
      <c r="F160" s="3270"/>
      <c r="G160" s="3270"/>
      <c r="H160" s="3270"/>
      <c r="I160" s="3270"/>
      <c r="J160" s="3270"/>
      <c r="K160" s="1871" t="e">
        <f>IF(G17&gt;=AI160,"",IF(K57-K153&gt;2,K57-K153,""))</f>
        <v>#N/A</v>
      </c>
      <c r="L160" s="1178"/>
      <c r="M160" s="1164"/>
      <c r="N160" s="1498"/>
      <c r="O160" s="1498"/>
      <c r="P160" s="1498"/>
      <c r="Q160" s="1498"/>
      <c r="R160" s="1498"/>
      <c r="S160" s="1498"/>
      <c r="T160" s="1498"/>
      <c r="U160" s="1498"/>
      <c r="V160" s="1498"/>
      <c r="W160" s="1498"/>
      <c r="X160" s="1498"/>
      <c r="Y160" s="1498"/>
      <c r="Z160" s="1498"/>
      <c r="AC160" s="17"/>
      <c r="AD160" s="17"/>
      <c r="AE160" s="17"/>
      <c r="AF160" s="17"/>
      <c r="AG160" s="712" t="s">
        <v>897</v>
      </c>
      <c r="AI160" s="182" t="str">
        <f>IF(J14="Dyer",Paramètres!AR218,IF(J14="Olsen",Paramètres!AS218," "))</f>
        <v xml:space="preserve"> </v>
      </c>
      <c r="AJ160" s="17" t="s">
        <v>898</v>
      </c>
      <c r="AL160" s="17" t="s">
        <v>900</v>
      </c>
      <c r="AM160" s="1341" t="s">
        <v>901</v>
      </c>
      <c r="AN160" s="17" t="str">
        <f>AL160&amp;AI160&amp;AM160</f>
        <v>Votre sol contient plus de   mg de P2O5 par kg, aucune fertilisation minérale n'est nécessaire</v>
      </c>
    </row>
    <row r="161" spans="1:40" ht="5.0999999999999996" customHeight="1" x14ac:dyDescent="0.2">
      <c r="A161" s="1164"/>
      <c r="B161" s="694"/>
      <c r="C161" s="622"/>
      <c r="D161" s="622"/>
      <c r="E161" s="622"/>
      <c r="F161" s="622"/>
      <c r="G161" s="622"/>
      <c r="H161" s="622"/>
      <c r="I161" s="622"/>
      <c r="J161" s="622"/>
      <c r="K161" s="622"/>
      <c r="L161" s="1178"/>
      <c r="M161" s="1164"/>
      <c r="N161" s="1498"/>
      <c r="O161" s="1498"/>
      <c r="P161" s="1498"/>
      <c r="Q161" s="1498"/>
      <c r="R161" s="1498"/>
      <c r="S161" s="1498"/>
      <c r="T161" s="1498"/>
      <c r="U161" s="1498"/>
      <c r="V161" s="1498"/>
      <c r="W161" s="1498"/>
      <c r="X161" s="1498"/>
      <c r="Y161" s="1498"/>
      <c r="Z161" s="1498"/>
    </row>
    <row r="162" spans="1:40" x14ac:dyDescent="0.2">
      <c r="A162" s="1164"/>
      <c r="B162" s="694"/>
      <c r="C162" s="622"/>
      <c r="D162" s="622"/>
      <c r="E162" s="622"/>
      <c r="F162" s="622"/>
      <c r="G162" s="622"/>
      <c r="H162" s="622"/>
      <c r="I162" s="622"/>
      <c r="J162" s="622"/>
      <c r="K162" s="622"/>
      <c r="L162" s="1902" t="s">
        <v>665</v>
      </c>
      <c r="M162" s="1164"/>
      <c r="N162" s="1498"/>
      <c r="O162" s="1498"/>
      <c r="P162" s="1498"/>
      <c r="Q162" s="1498"/>
      <c r="R162" s="1498"/>
      <c r="S162" s="1498"/>
      <c r="T162" s="1498"/>
      <c r="U162" s="1498"/>
      <c r="V162" s="1498"/>
      <c r="W162" s="1498"/>
      <c r="X162" s="1498"/>
      <c r="Y162" s="1498"/>
      <c r="Z162" s="1498"/>
    </row>
    <row r="163" spans="1:40" x14ac:dyDescent="0.2">
      <c r="A163" s="1164"/>
      <c r="B163" s="694"/>
      <c r="C163" s="622"/>
      <c r="D163" s="3270" t="e">
        <f>IF(H17&gt;=AI163,AN163,IF(L163&gt;2,"Solde à couvrir par une fertilisation minérale",IF(L163&lt;-2,"Excédent: revoir les doses d'effluents épandus",IF(OR(L163&lt;=2,L163&gt;=-2),"Aucune fertilisation minérale n'est nécessaire",""))))</f>
        <v>#N/A</v>
      </c>
      <c r="E163" s="3270"/>
      <c r="F163" s="3270"/>
      <c r="G163" s="3270"/>
      <c r="H163" s="3270"/>
      <c r="I163" s="3270"/>
      <c r="J163" s="3270"/>
      <c r="K163" s="3270"/>
      <c r="L163" s="1893" t="e">
        <f>IF(H17&gt;=AI163,"",IF(L59-L153&gt;2,L59-L153,""))</f>
        <v>#N/A</v>
      </c>
      <c r="M163" s="1164"/>
      <c r="N163" s="1498"/>
      <c r="O163" s="1498"/>
      <c r="P163" s="1498"/>
      <c r="Q163" s="1498"/>
      <c r="R163" s="1498"/>
      <c r="S163" s="1498"/>
      <c r="T163" s="1498"/>
      <c r="U163" s="1498"/>
      <c r="V163" s="1498"/>
      <c r="W163" s="1498"/>
      <c r="X163" s="1498"/>
      <c r="Y163" s="1498"/>
      <c r="Z163" s="1498"/>
      <c r="AC163" s="17"/>
      <c r="AD163" s="17"/>
      <c r="AE163" s="17"/>
      <c r="AF163" s="17"/>
      <c r="AG163" s="712" t="s">
        <v>899</v>
      </c>
      <c r="AI163" s="1205">
        <f>Paramètres!AR220</f>
        <v>300</v>
      </c>
      <c r="AJ163" s="17" t="s">
        <v>898</v>
      </c>
      <c r="AL163" s="17" t="s">
        <v>900</v>
      </c>
      <c r="AM163" s="17" t="s">
        <v>902</v>
      </c>
      <c r="AN163" s="17" t="str">
        <f>AL163&amp;AI163&amp;AM163</f>
        <v>Votre sol contient plus de 300 mg de K2O par kg, aucune fertilisation minérale n'est nécessaire</v>
      </c>
    </row>
    <row r="164" spans="1:40" ht="5.0999999999999996" customHeight="1" thickBot="1" x14ac:dyDescent="0.25">
      <c r="A164" s="1164"/>
      <c r="B164" s="1179"/>
      <c r="C164" s="1174"/>
      <c r="D164" s="1174"/>
      <c r="E164" s="1174"/>
      <c r="F164" s="1174"/>
      <c r="G164" s="1174"/>
      <c r="H164" s="1174"/>
      <c r="I164" s="1174"/>
      <c r="J164" s="1174"/>
      <c r="K164" s="1174"/>
      <c r="L164" s="1180"/>
      <c r="M164" s="1164"/>
      <c r="N164" s="1498"/>
      <c r="O164" s="1498"/>
      <c r="P164" s="1498"/>
      <c r="Q164" s="1498"/>
      <c r="R164" s="1498"/>
      <c r="S164" s="1498"/>
      <c r="T164" s="1498"/>
      <c r="U164" s="1498"/>
      <c r="V164" s="1498"/>
      <c r="W164" s="1498"/>
      <c r="X164" s="1498"/>
      <c r="Y164" s="1498"/>
      <c r="Z164" s="1498"/>
    </row>
    <row r="165" spans="1:40" ht="13.5" thickTop="1" x14ac:dyDescent="0.2">
      <c r="A165" s="1164"/>
      <c r="B165" s="1164"/>
      <c r="C165" s="1164"/>
      <c r="D165" s="1164"/>
      <c r="E165" s="1164"/>
      <c r="F165" s="1164"/>
      <c r="G165" s="1164"/>
      <c r="H165" s="1164"/>
      <c r="I165" s="1164"/>
      <c r="J165" s="1164"/>
      <c r="K165" s="1164"/>
      <c r="L165" s="1164"/>
      <c r="M165" s="1164"/>
      <c r="N165" s="1498"/>
      <c r="O165" s="1498"/>
      <c r="P165" s="1498"/>
      <c r="Q165" s="1498"/>
      <c r="R165" s="1498"/>
      <c r="S165" s="1498"/>
      <c r="T165" s="1498"/>
      <c r="U165" s="1498"/>
      <c r="V165" s="1498"/>
      <c r="W165" s="1498"/>
      <c r="X165" s="1498"/>
      <c r="Y165" s="1498"/>
      <c r="Z165" s="1498"/>
    </row>
    <row r="166" spans="1:40" x14ac:dyDescent="0.2">
      <c r="A166" s="1164"/>
      <c r="B166" s="1259" t="s">
        <v>1071</v>
      </c>
      <c r="C166" s="1164"/>
      <c r="D166" s="1164"/>
      <c r="E166" s="1164"/>
      <c r="F166" s="1164"/>
      <c r="G166" s="1164"/>
      <c r="H166" s="1164"/>
      <c r="I166" s="1164"/>
      <c r="J166" s="1431" t="s">
        <v>1072</v>
      </c>
      <c r="K166" s="1164"/>
      <c r="L166" s="1164"/>
      <c r="M166" s="1164"/>
      <c r="N166" s="1498"/>
      <c r="O166" s="1498"/>
      <c r="P166" s="1498"/>
      <c r="Q166" s="1498"/>
      <c r="R166" s="1498"/>
      <c r="S166" s="1498"/>
      <c r="T166" s="1498"/>
      <c r="U166" s="1498"/>
      <c r="V166" s="1498"/>
      <c r="W166" s="1498"/>
      <c r="X166" s="1498"/>
      <c r="Y166" s="1498"/>
      <c r="Z166" s="1498"/>
    </row>
    <row r="167" spans="1:40" ht="5.0999999999999996" customHeight="1" x14ac:dyDescent="0.2">
      <c r="A167" s="1164"/>
      <c r="B167" s="1164"/>
      <c r="C167" s="1164"/>
      <c r="D167" s="1164"/>
      <c r="E167" s="1164"/>
      <c r="F167" s="1164"/>
      <c r="G167" s="1164"/>
      <c r="H167" s="1164"/>
      <c r="I167" s="1164"/>
      <c r="J167" s="1164"/>
      <c r="K167" s="1164"/>
      <c r="L167" s="1164"/>
      <c r="M167" s="1164"/>
      <c r="N167" s="1498"/>
      <c r="O167" s="1498"/>
      <c r="P167" s="1498"/>
      <c r="Q167" s="1498"/>
      <c r="R167" s="1498"/>
      <c r="S167" s="1498"/>
      <c r="T167" s="1498"/>
      <c r="U167" s="1498"/>
      <c r="V167" s="1498"/>
      <c r="W167" s="1498"/>
      <c r="X167" s="1498"/>
      <c r="Y167" s="1498"/>
      <c r="Z167" s="1498"/>
    </row>
    <row r="168" spans="1:40" x14ac:dyDescent="0.2">
      <c r="A168" s="1164"/>
      <c r="B168" s="1164"/>
      <c r="C168" s="1164"/>
      <c r="D168" s="1164"/>
      <c r="E168" s="1164"/>
      <c r="F168" s="1164"/>
      <c r="G168" s="1431" t="s">
        <v>1078</v>
      </c>
      <c r="H168" s="1164"/>
      <c r="I168" s="1164"/>
      <c r="J168" s="1876" t="e">
        <f>100*J52/J$8</f>
        <v>#N/A</v>
      </c>
      <c r="K168" s="1483" t="s">
        <v>105</v>
      </c>
      <c r="L168" s="1164"/>
      <c r="M168" s="1164"/>
      <c r="N168" s="1498"/>
      <c r="O168" s="1498"/>
      <c r="P168" s="1498"/>
      <c r="Q168" s="1498"/>
      <c r="R168" s="1498"/>
      <c r="S168" s="1498"/>
      <c r="T168" s="1498"/>
      <c r="U168" s="1498"/>
      <c r="V168" s="1498"/>
      <c r="W168" s="1498"/>
      <c r="X168" s="1498"/>
      <c r="Y168" s="1498"/>
      <c r="Z168" s="1498"/>
    </row>
    <row r="169" spans="1:40" x14ac:dyDescent="0.2">
      <c r="A169" s="1164"/>
      <c r="B169" s="1164"/>
      <c r="C169" s="1164"/>
      <c r="D169" s="1164"/>
      <c r="E169" s="1164"/>
      <c r="F169" s="1164"/>
      <c r="G169" s="1431" t="s">
        <v>1423</v>
      </c>
      <c r="H169" s="1164"/>
      <c r="I169" s="1164"/>
      <c r="J169" s="1876" t="e">
        <f>100*J153/J$8</f>
        <v>#N/A</v>
      </c>
      <c r="K169" s="1483" t="s">
        <v>105</v>
      </c>
      <c r="L169" s="1164"/>
      <c r="M169" s="1164"/>
      <c r="N169" s="1498"/>
      <c r="O169" s="1498"/>
      <c r="P169" s="1498"/>
      <c r="Q169" s="1498"/>
      <c r="R169" s="1498"/>
      <c r="S169" s="1498"/>
      <c r="T169" s="1498"/>
      <c r="U169" s="1498"/>
      <c r="V169" s="1498"/>
      <c r="W169" s="1498"/>
      <c r="X169" s="1498"/>
      <c r="Y169" s="1498"/>
      <c r="Z169" s="1498"/>
    </row>
    <row r="170" spans="1:40" x14ac:dyDescent="0.2">
      <c r="A170" s="1164"/>
      <c r="B170" s="1164"/>
      <c r="C170" s="1164"/>
      <c r="D170" s="1164"/>
      <c r="E170" s="1164"/>
      <c r="F170" s="1164"/>
      <c r="G170" s="1431" t="s">
        <v>1079</v>
      </c>
      <c r="H170" s="1164"/>
      <c r="I170" s="1164"/>
      <c r="J170" s="1876" t="e">
        <f>IF(J157="","",100*J157/J$8)</f>
        <v>#N/A</v>
      </c>
      <c r="K170" s="1483" t="s">
        <v>105</v>
      </c>
      <c r="L170" s="1164"/>
      <c r="M170" s="1164"/>
      <c r="N170" s="1498"/>
      <c r="O170" s="1498"/>
      <c r="P170" s="1498"/>
      <c r="Q170" s="1498"/>
      <c r="R170" s="1498"/>
      <c r="S170" s="1498"/>
      <c r="T170" s="1498"/>
      <c r="U170" s="1498"/>
      <c r="V170" s="1498"/>
      <c r="W170" s="1498"/>
      <c r="X170" s="1498"/>
      <c r="Y170" s="1498"/>
      <c r="Z170" s="1498"/>
    </row>
    <row r="171" spans="1:40" x14ac:dyDescent="0.2">
      <c r="A171" s="1164"/>
      <c r="B171" s="1164"/>
      <c r="C171" s="1164"/>
      <c r="D171" s="1164"/>
      <c r="E171" s="1164"/>
      <c r="F171" s="1164"/>
      <c r="G171" s="1164"/>
      <c r="H171" s="1164"/>
      <c r="I171" s="1164"/>
      <c r="J171" s="1164"/>
      <c r="K171" s="1164"/>
      <c r="L171" s="1164"/>
      <c r="M171" s="1164"/>
      <c r="N171" s="1498"/>
      <c r="O171" s="1498"/>
      <c r="P171" s="1498"/>
      <c r="Q171" s="1498"/>
      <c r="R171" s="1498"/>
      <c r="S171" s="1498"/>
      <c r="T171" s="1498"/>
      <c r="U171" s="1498"/>
      <c r="V171" s="1498"/>
      <c r="W171" s="1498"/>
      <c r="X171" s="1498"/>
      <c r="Y171" s="1498"/>
      <c r="Z171" s="1498"/>
    </row>
    <row r="173" spans="1:40" x14ac:dyDescent="0.2">
      <c r="B173" s="1340"/>
    </row>
  </sheetData>
  <sheetProtection algorithmName="SHA-512" hashValue="i1jtAP7SqholYe1xFkV7NRzdA843K7ln9WjJeyJYpqRUKhPZ0NMtSWKUWxgggb3pDaT8x4jl/EZkeWGkgM+gAQ==" saltValue="Q6h6ieIfEHpl5fWHIZnwBA==" spinCount="100000" sheet="1" objects="1" scenarios="1"/>
  <mergeCells count="55">
    <mergeCell ref="AT69:AW69"/>
    <mergeCell ref="BF31:BJ31"/>
    <mergeCell ref="BK31:BO31"/>
    <mergeCell ref="BP31:BT31"/>
    <mergeCell ref="AU31:AY31"/>
    <mergeCell ref="AP31:AT31"/>
    <mergeCell ref="AN69:AQ69"/>
    <mergeCell ref="BU31:BY31"/>
    <mergeCell ref="D163:K163"/>
    <mergeCell ref="B155:G155"/>
    <mergeCell ref="D157:I157"/>
    <mergeCell ref="AA71:AC71"/>
    <mergeCell ref="F110:H110"/>
    <mergeCell ref="F111:H111"/>
    <mergeCell ref="F135:H135"/>
    <mergeCell ref="D160:J160"/>
    <mergeCell ref="F112:H112"/>
    <mergeCell ref="F127:H127"/>
    <mergeCell ref="F128:H128"/>
    <mergeCell ref="F130:H130"/>
    <mergeCell ref="F138:H138"/>
    <mergeCell ref="F140:H140"/>
    <mergeCell ref="F146:H146"/>
    <mergeCell ref="F148:H148"/>
    <mergeCell ref="B2:L2"/>
    <mergeCell ref="F5:H5"/>
    <mergeCell ref="B5:D5"/>
    <mergeCell ref="B66:G66"/>
    <mergeCell ref="B52:H52"/>
    <mergeCell ref="B54:G54"/>
    <mergeCell ref="B12:D12"/>
    <mergeCell ref="B19:G19"/>
    <mergeCell ref="B35:G35"/>
    <mergeCell ref="D37:F37"/>
    <mergeCell ref="B39:G39"/>
    <mergeCell ref="D55:I55"/>
    <mergeCell ref="E57:J57"/>
    <mergeCell ref="B27:G27"/>
    <mergeCell ref="B51:G51"/>
    <mergeCell ref="B40:L41"/>
    <mergeCell ref="B48:G48"/>
    <mergeCell ref="B3:K3"/>
    <mergeCell ref="AI71:AK71"/>
    <mergeCell ref="AE71:AG71"/>
    <mergeCell ref="F59:K59"/>
    <mergeCell ref="B69:D69"/>
    <mergeCell ref="B70:D70"/>
    <mergeCell ref="F70:H70"/>
    <mergeCell ref="B67:G67"/>
    <mergeCell ref="J69:L69"/>
    <mergeCell ref="J70:L70"/>
    <mergeCell ref="F69:H69"/>
    <mergeCell ref="AF31:AJ31"/>
    <mergeCell ref="AK31:AO31"/>
    <mergeCell ref="H62:N64"/>
  </mergeCells>
  <phoneticPr fontId="14" type="noConversion"/>
  <conditionalFormatting sqref="D163:I163 D157:I157 D160:I160 D55:I55 E57:J57 F59:K59">
    <cfRule type="expression" dxfId="64" priority="12" stopIfTrue="1">
      <formula>IF(ISERROR(D55),TRUE,FALSE)</formula>
    </cfRule>
  </conditionalFormatting>
  <conditionalFormatting sqref="K160 L163 J157 L59 J55 K57 J37:L37 J25 J33 J8:L8 J17 J46 J52:L52">
    <cfRule type="expression" dxfId="63" priority="18" stopIfTrue="1">
      <formula>IF(ISERROR(J8),TRUE,FALSE)</formula>
    </cfRule>
  </conditionalFormatting>
  <conditionalFormatting sqref="B16:E17">
    <cfRule type="expression" dxfId="62" priority="98" stopIfTrue="1">
      <formula>IF(ISBLANK($F$14),TRUE,FALSE)</formula>
    </cfRule>
  </conditionalFormatting>
  <conditionalFormatting sqref="J49">
    <cfRule type="expression" dxfId="61" priority="20" stopIfTrue="1">
      <formula>IF(ISERROR(J49),TRUE,FALSE)</formula>
    </cfRule>
  </conditionalFormatting>
  <conditionalFormatting sqref="J168:J170">
    <cfRule type="expression" dxfId="60" priority="4" stopIfTrue="1">
      <formula>IF(ISERROR(J168),TRUE,FALSE)</formula>
    </cfRule>
    <cfRule type="expression" dxfId="59" priority="6">
      <formula>IF(J168&lt;0,TRUE,FALSE)</formula>
    </cfRule>
  </conditionalFormatting>
  <conditionalFormatting sqref="F8">
    <cfRule type="expression" dxfId="58" priority="107" stopIfTrue="1">
      <formula>IF($BH2="Q",TRUE,FALSE)</formula>
    </cfRule>
  </conditionalFormatting>
  <conditionalFormatting sqref="G8">
    <cfRule type="expression" dxfId="57" priority="108" stopIfTrue="1">
      <formula>IF($BH2="TS",TRUE,FALSE)</formula>
    </cfRule>
  </conditionalFormatting>
  <conditionalFormatting sqref="H8">
    <cfRule type="expression" dxfId="56" priority="109" stopIfTrue="1">
      <formula>IF($BH2="TF",TRUE,FALSE)</formula>
    </cfRule>
  </conditionalFormatting>
  <conditionalFormatting sqref="B43:E46">
    <cfRule type="expression" dxfId="55" priority="1">
      <formula>IF($AF$41=1,FALSE,TRUE)</formula>
    </cfRule>
  </conditionalFormatting>
  <conditionalFormatting sqref="F43:H44">
    <cfRule type="expression" dxfId="54" priority="2">
      <formula>IF($AF$41=2,FALSE,TRUE)</formula>
    </cfRule>
  </conditionalFormatting>
  <conditionalFormatting sqref="C45:E46">
    <cfRule type="expression" dxfId="53" priority="3">
      <formula>IF(OR($D$43=$AK$36,$D$43=$AL$36),FALSE,TRUE)</formula>
    </cfRule>
  </conditionalFormatting>
  <dataValidations count="13">
    <dataValidation type="list" allowBlank="1" showInputMessage="1" showErrorMessage="1" sqref="F31">
      <formula1>$AA$29:$AA$34</formula1>
    </dataValidation>
    <dataValidation type="list" allowBlank="1" showInputMessage="1" showErrorMessage="1" sqref="F14">
      <formula1>$AA$14:$AA$15</formula1>
    </dataValidation>
    <dataValidation type="list" allowBlank="1" showInputMessage="1" showErrorMessage="1" sqref="F21">
      <formula1>$AA$21:$AA$23</formula1>
    </dataValidation>
    <dataValidation type="list" allowBlank="1" showInputMessage="1" showErrorMessage="1" sqref="F25">
      <formula1>$AJ$21:$AJ$23</formula1>
    </dataValidation>
    <dataValidation type="list" allowBlank="1" showInputMessage="1" showErrorMessage="1" sqref="F23">
      <formula1>$AC$21:$AC$22</formula1>
    </dataValidation>
    <dataValidation type="list" allowBlank="1" showInputMessage="1" showErrorMessage="1" sqref="F33">
      <formula1>$AC$30:$AC$33</formula1>
    </dataValidation>
    <dataValidation type="list" allowBlank="1" showInputMessage="1" showErrorMessage="1" sqref="D37:F37">
      <formula1>$AA$37:$AA$46</formula1>
    </dataValidation>
    <dataValidation type="list" allowBlank="1" showInputMessage="1" showErrorMessage="1" sqref="D43">
      <formula1>$AK$36:$AQ$36</formula1>
    </dataValidation>
    <dataValidation type="list" allowBlank="1" showInputMessage="1" showErrorMessage="1" sqref="E45:E46">
      <formula1>$AG$43:$AG$44</formula1>
    </dataValidation>
    <dataValidation type="list" allowBlank="1" showInputMessage="1" showErrorMessage="1" sqref="J14">
      <formula1>$AA$11:$AA$12</formula1>
    </dataValidation>
    <dataValidation type="list" allowBlank="1" showInputMessage="1" showErrorMessage="1" sqref="F29">
      <formula1>$AA$26:$AA$27</formula1>
    </dataValidation>
    <dataValidation type="list" allowBlank="1" showInputMessage="1" showErrorMessage="1" sqref="D8">
      <formula1>$BG$3:$BG$28</formula1>
    </dataValidation>
    <dataValidation type="list" allowBlank="1" showInputMessage="1" showErrorMessage="1" sqref="D44">
      <formula1>$AG$36:$AG$38</formula1>
    </dataValidation>
  </dataValidations>
  <hyperlinks>
    <hyperlink ref="B3:J3" location="Ferti_SAU!A27" display="Une fois vos calculs termines, Transférez les doses retenues sur Ferti_SAU"/>
  </hyperlinks>
  <pageMargins left="0.78740157499999996" right="0.78740157499999996" top="0.984251969" bottom="0.984251969" header="0.4921259845" footer="0.4921259845"/>
  <pageSetup paperSize="9" scale="13"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2352" r:id="rId4" name="Button 128">
              <controlPr defaultSize="0" print="0" autoFill="0" autoPict="0" macro="[0]!Efface_Cultures">
                <anchor moveWithCells="1" sizeWithCells="1">
                  <from>
                    <xdr:col>3</xdr:col>
                    <xdr:colOff>1171575</xdr:colOff>
                    <xdr:row>0</xdr:row>
                    <xdr:rowOff>0</xdr:rowOff>
                  </from>
                  <to>
                    <xdr:col>7</xdr:col>
                    <xdr:colOff>619125</xdr:colOff>
                    <xdr:row>1</xdr:row>
                    <xdr:rowOff>0</xdr:rowOff>
                  </to>
                </anchor>
              </controlPr>
            </control>
          </mc:Choice>
        </mc:AlternateContent>
        <mc:AlternateContent xmlns:mc="http://schemas.openxmlformats.org/markup-compatibility/2006">
          <mc:Choice Requires="x14">
            <control shapeId="52354" r:id="rId5" name="Button 130">
              <controlPr defaultSize="0" print="0" autoFill="0" autoPict="0" macro="[0]!Retour_Presentation">
                <anchor moveWithCells="1" sizeWithCells="1">
                  <from>
                    <xdr:col>10</xdr:col>
                    <xdr:colOff>561975</xdr:colOff>
                    <xdr:row>0</xdr:row>
                    <xdr:rowOff>0</xdr:rowOff>
                  </from>
                  <to>
                    <xdr:col>13</xdr:col>
                    <xdr:colOff>9525</xdr:colOff>
                    <xdr:row>2</xdr:row>
                    <xdr:rowOff>180975</xdr:rowOff>
                  </to>
                </anchor>
              </controlPr>
            </control>
          </mc:Choice>
        </mc:AlternateContent>
        <mc:AlternateContent xmlns:mc="http://schemas.openxmlformats.org/markup-compatibility/2006">
          <mc:Choice Requires="x14">
            <control shapeId="52356" r:id="rId6" name="Option Button 132">
              <controlPr defaultSize="0" autoFill="0" autoLine="0" autoPict="0">
                <anchor moveWithCells="1">
                  <from>
                    <xdr:col>1</xdr:col>
                    <xdr:colOff>857250</xdr:colOff>
                    <xdr:row>41</xdr:row>
                    <xdr:rowOff>57150</xdr:rowOff>
                  </from>
                  <to>
                    <xdr:col>6</xdr:col>
                    <xdr:colOff>171450</xdr:colOff>
                    <xdr:row>41</xdr:row>
                    <xdr:rowOff>323850</xdr:rowOff>
                  </to>
                </anchor>
              </controlPr>
            </control>
          </mc:Choice>
        </mc:AlternateContent>
        <mc:AlternateContent xmlns:mc="http://schemas.openxmlformats.org/markup-compatibility/2006">
          <mc:Choice Requires="x14">
            <control shapeId="52357" r:id="rId7" name="Option Button 133">
              <controlPr defaultSize="0" autoFill="0" autoLine="0" autoPict="0">
                <anchor moveWithCells="1">
                  <from>
                    <xdr:col>6</xdr:col>
                    <xdr:colOff>142875</xdr:colOff>
                    <xdr:row>41</xdr:row>
                    <xdr:rowOff>95250</xdr:rowOff>
                  </from>
                  <to>
                    <xdr:col>9</xdr:col>
                    <xdr:colOff>533400</xdr:colOff>
                    <xdr:row>41</xdr:row>
                    <xdr:rowOff>304800</xdr:rowOff>
                  </to>
                </anchor>
              </controlPr>
            </control>
          </mc:Choice>
        </mc:AlternateContent>
        <mc:AlternateContent xmlns:mc="http://schemas.openxmlformats.org/markup-compatibility/2006">
          <mc:Choice Requires="x14">
            <control shapeId="52358" r:id="rId8" name="Group Box 134">
              <controlPr defaultSize="0" autoFill="0" autoPict="0">
                <anchor moveWithCells="1">
                  <from>
                    <xdr:col>0</xdr:col>
                    <xdr:colOff>95250</xdr:colOff>
                    <xdr:row>41</xdr:row>
                    <xdr:rowOff>57150</xdr:rowOff>
                  </from>
                  <to>
                    <xdr:col>9</xdr:col>
                    <xdr:colOff>590550</xdr:colOff>
                    <xdr:row>41</xdr:row>
                    <xdr:rowOff>342900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25</vt:i4>
      </vt:variant>
      <vt:variant>
        <vt:lpstr>Plages nommées</vt:lpstr>
      </vt:variant>
      <vt:variant>
        <vt:i4>441</vt:i4>
      </vt:variant>
    </vt:vector>
  </HeadingPairs>
  <TitlesOfParts>
    <vt:vector size="466" baseType="lpstr">
      <vt:lpstr>Présentation</vt:lpstr>
      <vt:lpstr>Saisies_Exploitation</vt:lpstr>
      <vt:lpstr>NPK_Organiques</vt:lpstr>
      <vt:lpstr>Chargements</vt:lpstr>
      <vt:lpstr>Pressions_Prairies</vt:lpstr>
      <vt:lpstr>Plan_Epandage</vt:lpstr>
      <vt:lpstr>Ferti_SAU</vt:lpstr>
      <vt:lpstr>Ferti_Prairies</vt:lpstr>
      <vt:lpstr>Ferti_Cultures</vt:lpstr>
      <vt:lpstr>Autonomie</vt:lpstr>
      <vt:lpstr>Achats</vt:lpstr>
      <vt:lpstr>Resultats</vt:lpstr>
      <vt:lpstr>Saisie_Bilan</vt:lpstr>
      <vt:lpstr>Resu_Bilan</vt:lpstr>
      <vt:lpstr>Resu_Bilan_Pat</vt:lpstr>
      <vt:lpstr>VLCalendrier</vt:lpstr>
      <vt:lpstr>VLPartPaturage</vt:lpstr>
      <vt:lpstr>GénissesLaitières</vt:lpstr>
      <vt:lpstr>Allaitant</vt:lpstr>
      <vt:lpstr>Engraissement</vt:lpstr>
      <vt:lpstr>VeauBoucherie</vt:lpstr>
      <vt:lpstr>Porcs</vt:lpstr>
      <vt:lpstr>Volailles</vt:lpstr>
      <vt:lpstr>Lapins</vt:lpstr>
      <vt:lpstr>Paramètres</vt:lpstr>
      <vt:lpstr>AEN_AppMSL</vt:lpstr>
      <vt:lpstr>AEN_AppMSV</vt:lpstr>
      <vt:lpstr>AEN_ConcGen1A</vt:lpstr>
      <vt:lpstr>AEN_ConcGen1AAuto</vt:lpstr>
      <vt:lpstr>AEN_ConcGen1APat</vt:lpstr>
      <vt:lpstr>AEN_ConcGen1L</vt:lpstr>
      <vt:lpstr>AEN_ConcGen1LAuto</vt:lpstr>
      <vt:lpstr>AEN_ConcGen1LPat</vt:lpstr>
      <vt:lpstr>AEN_ConcGen2A</vt:lpstr>
      <vt:lpstr>AEN_ConcGen2AAuto</vt:lpstr>
      <vt:lpstr>AEN_ConcGen2APat</vt:lpstr>
      <vt:lpstr>AEN_ConcGen2L</vt:lpstr>
      <vt:lpstr>AEN_ConcGen2LAuto</vt:lpstr>
      <vt:lpstr>AEN_ConcGen2LPat</vt:lpstr>
      <vt:lpstr>AEN_ConcGen3A</vt:lpstr>
      <vt:lpstr>AEN_ConcGen3AAuto</vt:lpstr>
      <vt:lpstr>AEN_ConcGen3APat</vt:lpstr>
      <vt:lpstr>AEN_ConcGen3L</vt:lpstr>
      <vt:lpstr>AEN_ConcGen3LAuto</vt:lpstr>
      <vt:lpstr>AEN_ConcGen3LPat</vt:lpstr>
      <vt:lpstr>AEN_ConcTauL</vt:lpstr>
      <vt:lpstr>AEN_ConcTauLAuto</vt:lpstr>
      <vt:lpstr>AEN_ConcTauLPat</vt:lpstr>
      <vt:lpstr>AEN_ConcTauV</vt:lpstr>
      <vt:lpstr>AEN_ConcTauVAuto</vt:lpstr>
      <vt:lpstr>AEN_ConcTauVPat</vt:lpstr>
      <vt:lpstr>AEN_ConcVaR</vt:lpstr>
      <vt:lpstr>AEN_ConcVaRAuto</vt:lpstr>
      <vt:lpstr>AEN_ConcVaRPat</vt:lpstr>
      <vt:lpstr>AEN_ConcVLR</vt:lpstr>
      <vt:lpstr>AEN_ConcVLRAuto</vt:lpstr>
      <vt:lpstr>AEN_ConcVLRPat</vt:lpstr>
      <vt:lpstr>AEN_ConVouL</vt:lpstr>
      <vt:lpstr>AEN_ConVouV</vt:lpstr>
      <vt:lpstr>AEN_ConvVLR</vt:lpstr>
      <vt:lpstr>AEN_EnsilTauL</vt:lpstr>
      <vt:lpstr>AEN_EnsilTauV</vt:lpstr>
      <vt:lpstr>AEN_G3AHeMo</vt:lpstr>
      <vt:lpstr>AEN_G3AMaHe</vt:lpstr>
      <vt:lpstr>AEN_G3LHeMo</vt:lpstr>
      <vt:lpstr>AEN_G3LMaHe</vt:lpstr>
      <vt:lpstr>AEN_MaHeMo</vt:lpstr>
      <vt:lpstr>AEN_MalMaHe</vt:lpstr>
      <vt:lpstr>AEN_VaRefL</vt:lpstr>
      <vt:lpstr>AEN_VaRefV</vt:lpstr>
      <vt:lpstr>AGL_An1SanPat</vt:lpstr>
      <vt:lpstr>AGL_An2Hiv</vt:lpstr>
      <vt:lpstr>AGL_An2SanPat</vt:lpstr>
      <vt:lpstr>AGL_An3Pre</vt:lpstr>
      <vt:lpstr>AGL_An3TarHiv</vt:lpstr>
      <vt:lpstr>AGL_ConAn1</vt:lpstr>
      <vt:lpstr>AGL_ConAn2</vt:lpstr>
      <vt:lpstr>AGL_ConAn3</vt:lpstr>
      <vt:lpstr>AGL_Conc</vt:lpstr>
      <vt:lpstr>AGL_ConcAuto</vt:lpstr>
      <vt:lpstr>AGL_MoHeAn1</vt:lpstr>
      <vt:lpstr>AGL_MoHeAn2</vt:lpstr>
      <vt:lpstr>AGL_MoHeAn3</vt:lpstr>
      <vt:lpstr>AMA_All</vt:lpstr>
      <vt:lpstr>AMA_AllAuto</vt:lpstr>
      <vt:lpstr>AMA_AllPat</vt:lpstr>
      <vt:lpstr>AMA_Lai</vt:lpstr>
      <vt:lpstr>AMA_LaiAuto</vt:lpstr>
      <vt:lpstr>AMA_LaiPat</vt:lpstr>
      <vt:lpstr>ATA_ChPer1</vt:lpstr>
      <vt:lpstr>ATA_ChPer2</vt:lpstr>
      <vt:lpstr>ATA_ChPer3</vt:lpstr>
      <vt:lpstr>ATA_ConcBr</vt:lpstr>
      <vt:lpstr>ATA_ConcBrAuto</vt:lpstr>
      <vt:lpstr>ATA_ConcBrPat</vt:lpstr>
      <vt:lpstr>ATA_ConcGen</vt:lpstr>
      <vt:lpstr>ATA_ConcGenAuto</vt:lpstr>
      <vt:lpstr>ATA_ConcGenPat</vt:lpstr>
      <vt:lpstr>ATA_ConcVa</vt:lpstr>
      <vt:lpstr>ATA_ConcVaAuto</vt:lpstr>
      <vt:lpstr>ATA_ConcVaPat</vt:lpstr>
      <vt:lpstr>ATA_EnsHe30</vt:lpstr>
      <vt:lpstr>ATA_EnsHe36</vt:lpstr>
      <vt:lpstr>ATA_EnsHeG2</vt:lpstr>
      <vt:lpstr>ATA_EnsHeVa</vt:lpstr>
      <vt:lpstr>ATA_Gen33FH</vt:lpstr>
      <vt:lpstr>ATA_JoPer1</vt:lpstr>
      <vt:lpstr>ATA_JoPer2</vt:lpstr>
      <vt:lpstr>ATA_JoPer3</vt:lpstr>
      <vt:lpstr>ATA_MoHeG36</vt:lpstr>
      <vt:lpstr>ATA_MoHeGe2</vt:lpstr>
      <vt:lpstr>ATA_MoHeVa</vt:lpstr>
      <vt:lpstr>ATA_SurPat1</vt:lpstr>
      <vt:lpstr>ATA_SurPat2</vt:lpstr>
      <vt:lpstr>ATA_SurPat3</vt:lpstr>
      <vt:lpstr>Aut_Ass_Stad</vt:lpstr>
      <vt:lpstr>Aut_Asso</vt:lpstr>
      <vt:lpstr>Aut_CerAuto</vt:lpstr>
      <vt:lpstr>Aut_Ensil</vt:lpstr>
      <vt:lpstr>Aut_FouGro</vt:lpstr>
      <vt:lpstr>Aut_FouRicN</vt:lpstr>
      <vt:lpstr>Aut_Lon_Stad</vt:lpstr>
      <vt:lpstr>Aut_LonDur</vt:lpstr>
      <vt:lpstr>Aut_PCreserve</vt:lpstr>
      <vt:lpstr>Aut_Per_Stad</vt:lpstr>
      <vt:lpstr>Aut_PraiPer</vt:lpstr>
      <vt:lpstr>AVL_AreHerbe</vt:lpstr>
      <vt:lpstr>AVL_AreMais</vt:lpstr>
      <vt:lpstr>AVL_ChPer1</vt:lpstr>
      <vt:lpstr>AVL_ChPer2</vt:lpstr>
      <vt:lpstr>AVL_ChPer3</vt:lpstr>
      <vt:lpstr>AVL_CompPat</vt:lpstr>
      <vt:lpstr>AVL_Conc</vt:lpstr>
      <vt:lpstr>AVL_ConcAuto</vt:lpstr>
      <vt:lpstr>AVL_ConJou1</vt:lpstr>
      <vt:lpstr>AVL_ConJou2</vt:lpstr>
      <vt:lpstr>AVL_ConJou3</vt:lpstr>
      <vt:lpstr>AVL_JoConnus</vt:lpstr>
      <vt:lpstr>AVL_JoPer1</vt:lpstr>
      <vt:lpstr>AVL_JoPer2</vt:lpstr>
      <vt:lpstr>AVL_JoPer3</vt:lpstr>
      <vt:lpstr>AVL_PaH25EH</vt:lpstr>
      <vt:lpstr>AVL_PaH25EM</vt:lpstr>
      <vt:lpstr>AVL_PaH50EH</vt:lpstr>
      <vt:lpstr>AVL_PaH50EM</vt:lpstr>
      <vt:lpstr>AVL_PaHerSeu</vt:lpstr>
      <vt:lpstr>AVL_Paturage</vt:lpstr>
      <vt:lpstr>AVL_StEH0</vt:lpstr>
      <vt:lpstr>AVL_StEH100</vt:lpstr>
      <vt:lpstr>AVL_StEH25</vt:lpstr>
      <vt:lpstr>AVL_StEH50</vt:lpstr>
      <vt:lpstr>AVL_StEH75</vt:lpstr>
      <vt:lpstr>AVL_Surpat1</vt:lpstr>
      <vt:lpstr>AVL_SurPat2</vt:lpstr>
      <vt:lpstr>AVL_SurPat3</vt:lpstr>
      <vt:lpstr>CCP_SurPat1</vt:lpstr>
      <vt:lpstr>CCP_SurPat2</vt:lpstr>
      <vt:lpstr>CCP_SurPat3</vt:lpstr>
      <vt:lpstr>Cu_Age</vt:lpstr>
      <vt:lpstr>Cu_Analy</vt:lpstr>
      <vt:lpstr>Cu_Atmosph</vt:lpstr>
      <vt:lpstr>Cu_BouEpu</vt:lpstr>
      <vt:lpstr>Cu_Choix</vt:lpstr>
      <vt:lpstr>Cu_Co1</vt:lpstr>
      <vt:lpstr>Cu_Co2</vt:lpstr>
      <vt:lpstr>Cu_Cp1</vt:lpstr>
      <vt:lpstr>Cu_Cp2</vt:lpstr>
      <vt:lpstr>Cu_Cult</vt:lpstr>
      <vt:lpstr>Cu_CuPre</vt:lpstr>
      <vt:lpstr>Cu_DigMetha</vt:lpstr>
      <vt:lpstr>Cu_Dose</vt:lpstr>
      <vt:lpstr>Cu_Effl</vt:lpstr>
      <vt:lpstr>Cu_Freq</vt:lpstr>
      <vt:lpstr>Cu_Fu1</vt:lpstr>
      <vt:lpstr>Cu_Fu2</vt:lpstr>
      <vt:lpstr>Cu_Fu3</vt:lpstr>
      <vt:lpstr>Cu_Fu4</vt:lpstr>
      <vt:lpstr>Cu_Fu5</vt:lpstr>
      <vt:lpstr>Cu_Fu6</vt:lpstr>
      <vt:lpstr>Cu_Fu7</vt:lpstr>
      <vt:lpstr>Cu_GREN</vt:lpstr>
      <vt:lpstr>Cu_Hive</vt:lpstr>
      <vt:lpstr>Cu_K2O</vt:lpstr>
      <vt:lpstr>Cu_Lis1</vt:lpstr>
      <vt:lpstr>Cu_Lis2</vt:lpstr>
      <vt:lpstr>Cu_Metho</vt:lpstr>
      <vt:lpstr>Cu_N</vt:lpstr>
      <vt:lpstr>Cu_P2O5</vt:lpstr>
      <vt:lpstr>Cu_Rdt</vt:lpstr>
      <vt:lpstr>Cu_Resi</vt:lpstr>
      <vt:lpstr>Cu_Retourn</vt:lpstr>
      <vt:lpstr>Cu_Sol</vt:lpstr>
      <vt:lpstr>Cu_Sys</vt:lpstr>
      <vt:lpstr>Cu_Temp</vt:lpstr>
      <vt:lpstr>DoseN1</vt:lpstr>
      <vt:lpstr>DoseN2</vt:lpstr>
      <vt:lpstr>DoseN3</vt:lpstr>
      <vt:lpstr>DoseN4</vt:lpstr>
      <vt:lpstr>EN_C1</vt:lpstr>
      <vt:lpstr>EN_C2</vt:lpstr>
      <vt:lpstr>EN_C3</vt:lpstr>
      <vt:lpstr>EN_C4</vt:lpstr>
      <vt:lpstr>EN_FormGen</vt:lpstr>
      <vt:lpstr>EN_FormMal</vt:lpstr>
      <vt:lpstr>EN_FormTauri</vt:lpstr>
      <vt:lpstr>EN_NbGen30m</vt:lpstr>
      <vt:lpstr>EN_NbGen33m</vt:lpstr>
      <vt:lpstr>EN_NbGen36m</vt:lpstr>
      <vt:lpstr>EN_NbGenAn2</vt:lpstr>
      <vt:lpstr>EN_NbMal28m</vt:lpstr>
      <vt:lpstr>EN_NbMal30m</vt:lpstr>
      <vt:lpstr>EN_NbMal33m</vt:lpstr>
      <vt:lpstr>EN_NbMal36m</vt:lpstr>
      <vt:lpstr>EN_NbMalAn1</vt:lpstr>
      <vt:lpstr>EN_NbMalAn1A</vt:lpstr>
      <vt:lpstr>EN_NbMalAn1Ach</vt:lpstr>
      <vt:lpstr>EN_NbMalAn1L</vt:lpstr>
      <vt:lpstr>EN_NbMalAn1Tau</vt:lpstr>
      <vt:lpstr>EN_NbMalAn1Vd</vt:lpstr>
      <vt:lpstr>EN_NbMalAn2</vt:lpstr>
      <vt:lpstr>EN_NbMoVaL</vt:lpstr>
      <vt:lpstr>EN_NbMoVaLHe</vt:lpstr>
      <vt:lpstr>EN_NbMoVaV</vt:lpstr>
      <vt:lpstr>EN_NbMoVaVHe</vt:lpstr>
      <vt:lpstr>EN_NbTauril</vt:lpstr>
      <vt:lpstr>EN_NbTaurilA</vt:lpstr>
      <vt:lpstr>EN_NbTaurilait</vt:lpstr>
      <vt:lpstr>EN_NbTaurilL</vt:lpstr>
      <vt:lpstr>EN_NbVaRefA</vt:lpstr>
      <vt:lpstr>EN_NbVaRefL</vt:lpstr>
      <vt:lpstr>EN_NbVaRefLait</vt:lpstr>
      <vt:lpstr>EN_NbVaRefV</vt:lpstr>
      <vt:lpstr>EN_NbVeauVd15j</vt:lpstr>
      <vt:lpstr>EN_PdsAch</vt:lpstr>
      <vt:lpstr>EN_PdsRepouFem</vt:lpstr>
      <vt:lpstr>EN_PdsRepouMal</vt:lpstr>
      <vt:lpstr>EN_PdsVd</vt:lpstr>
      <vt:lpstr>EN_PdsVeauVd15j</vt:lpstr>
      <vt:lpstr>EN_ProVive</vt:lpstr>
      <vt:lpstr>EN_RepouFem</vt:lpstr>
      <vt:lpstr>EN_RepouMal</vt:lpstr>
      <vt:lpstr>EN_UgbGen30m</vt:lpstr>
      <vt:lpstr>EN_UgbGen33m</vt:lpstr>
      <vt:lpstr>EN_UgbGen36m</vt:lpstr>
      <vt:lpstr>EN_UgbGenAn2</vt:lpstr>
      <vt:lpstr>EN_UgbMal28m</vt:lpstr>
      <vt:lpstr>EN_UgbMal30m</vt:lpstr>
      <vt:lpstr>EN_UgbMal33m</vt:lpstr>
      <vt:lpstr>EN_UgbMal36m</vt:lpstr>
      <vt:lpstr>EN_UgbMalAn1</vt:lpstr>
      <vt:lpstr>EN_UgbMalAn2</vt:lpstr>
      <vt:lpstr>EN_UgbTauril</vt:lpstr>
      <vt:lpstr>EN_UgbTaurilait</vt:lpstr>
      <vt:lpstr>EN_UgbVaRefL</vt:lpstr>
      <vt:lpstr>EN_UgbVaRefV</vt:lpstr>
      <vt:lpstr>EN_Z1</vt:lpstr>
      <vt:lpstr>EN_Z10</vt:lpstr>
      <vt:lpstr>EN_Z2</vt:lpstr>
      <vt:lpstr>EN_Z3</vt:lpstr>
      <vt:lpstr>EN_Z4</vt:lpstr>
      <vt:lpstr>EN_Z5</vt:lpstr>
      <vt:lpstr>EN_Z6</vt:lpstr>
      <vt:lpstr>EN_Z7</vt:lpstr>
      <vt:lpstr>EN_Z8</vt:lpstr>
      <vt:lpstr>EN_Z9</vt:lpstr>
      <vt:lpstr>Ferti_Z1</vt:lpstr>
      <vt:lpstr>Ferti_Z2</vt:lpstr>
      <vt:lpstr>Ferti_Z3</vt:lpstr>
      <vt:lpstr>Ferti_Z4</vt:lpstr>
      <vt:lpstr>Haut</vt:lpstr>
      <vt:lpstr>HS_Can</vt:lpstr>
      <vt:lpstr>HS_Din</vt:lpstr>
      <vt:lpstr>HS_LapProE</vt:lpstr>
      <vt:lpstr>HS_LapProN</vt:lpstr>
      <vt:lpstr>HS_LapProNE</vt:lpstr>
      <vt:lpstr>HS_LapRepN</vt:lpstr>
      <vt:lpstr>HS_LapRepNE</vt:lpstr>
      <vt:lpstr>HS_ModeLapin</vt:lpstr>
      <vt:lpstr>HS_Oie</vt:lpstr>
      <vt:lpstr>HS_Pin</vt:lpstr>
      <vt:lpstr>HS_PorAbb</vt:lpstr>
      <vt:lpstr>HS_PorCoc</vt:lpstr>
      <vt:lpstr>HS_PorCocBi</vt:lpstr>
      <vt:lpstr>HS_PorCocCla</vt:lpstr>
      <vt:lpstr>HS_PorComp</vt:lpstr>
      <vt:lpstr>HS_PorCrF</vt:lpstr>
      <vt:lpstr>HS_PorCrFBi</vt:lpstr>
      <vt:lpstr>HS_PorCrFCla</vt:lpstr>
      <vt:lpstr>HS_PorLet</vt:lpstr>
      <vt:lpstr>HS_PorLetBi</vt:lpstr>
      <vt:lpstr>HS_PorLetCla</vt:lpstr>
      <vt:lpstr>HS_PorSol</vt:lpstr>
      <vt:lpstr>HS_PorTru</vt:lpstr>
      <vt:lpstr>HS_PorTruBi</vt:lpstr>
      <vt:lpstr>HS_PorTruCla</vt:lpstr>
      <vt:lpstr>HS_Pou</vt:lpstr>
      <vt:lpstr>HS_VeauBou</vt:lpstr>
      <vt:lpstr>ID_1</vt:lpstr>
      <vt:lpstr>ID_2</vt:lpstr>
      <vt:lpstr>Mineral</vt:lpstr>
      <vt:lpstr>NatEffExp</vt:lpstr>
      <vt:lpstr>NatEffExport</vt:lpstr>
      <vt:lpstr>NatEffImp</vt:lpstr>
      <vt:lpstr>NonExced</vt:lpstr>
      <vt:lpstr>Objectif</vt:lpstr>
      <vt:lpstr>Pds_Croi</vt:lpstr>
      <vt:lpstr>Pds_Eng</vt:lpstr>
      <vt:lpstr>Plage1</vt:lpstr>
      <vt:lpstr>Plage2</vt:lpstr>
      <vt:lpstr>Plage3</vt:lpstr>
      <vt:lpstr>Plage4</vt:lpstr>
      <vt:lpstr>Priorite_Epand1</vt:lpstr>
      <vt:lpstr>Priorite_Epand2</vt:lpstr>
      <vt:lpstr>QuaNExport</vt:lpstr>
      <vt:lpstr>Race_Croi</vt:lpstr>
      <vt:lpstr>Race_Eng</vt:lpstr>
      <vt:lpstr>RE_1</vt:lpstr>
      <vt:lpstr>RE_10</vt:lpstr>
      <vt:lpstr>RE_11</vt:lpstr>
      <vt:lpstr>RE_12</vt:lpstr>
      <vt:lpstr>RE_13</vt:lpstr>
      <vt:lpstr>RE_14</vt:lpstr>
      <vt:lpstr>RE_15</vt:lpstr>
      <vt:lpstr>RE_16</vt:lpstr>
      <vt:lpstr>RE_17</vt:lpstr>
      <vt:lpstr>RE_18</vt:lpstr>
      <vt:lpstr>RE_2</vt:lpstr>
      <vt:lpstr>RE_3</vt:lpstr>
      <vt:lpstr>RE_4</vt:lpstr>
      <vt:lpstr>RE_5</vt:lpstr>
      <vt:lpstr>RE_6</vt:lpstr>
      <vt:lpstr>RE_7</vt:lpstr>
      <vt:lpstr>RE_8</vt:lpstr>
      <vt:lpstr>RE_9</vt:lpstr>
      <vt:lpstr>SA_CA</vt:lpstr>
      <vt:lpstr>SA_CA_Auto</vt:lpstr>
      <vt:lpstr>SA_CA_Bette</vt:lpstr>
      <vt:lpstr>SA_CA_Cerea</vt:lpstr>
      <vt:lpstr>SA_CA_Divers</vt:lpstr>
      <vt:lpstr>SA_CA_MaisG</vt:lpstr>
      <vt:lpstr>SA_CA_Prote</vt:lpstr>
      <vt:lpstr>SA_Cipan</vt:lpstr>
      <vt:lpstr>SA_CultEpand</vt:lpstr>
      <vt:lpstr>SA_Herbe_Vache</vt:lpstr>
      <vt:lpstr>SA_Jachere</vt:lpstr>
      <vt:lpstr>SA_PECAEp</vt:lpstr>
      <vt:lpstr>SA_PEnonEp</vt:lpstr>
      <vt:lpstr>SA_PEPrEp</vt:lpstr>
      <vt:lpstr>SA_PraiEpand</vt:lpstr>
      <vt:lpstr>SA_SAMO</vt:lpstr>
      <vt:lpstr>SA_SAUnette</vt:lpstr>
      <vt:lpstr>SA_SAUtotale</vt:lpstr>
      <vt:lpstr>SA_SFP</vt:lpstr>
      <vt:lpstr>SA_SFP_AutoPc</vt:lpstr>
      <vt:lpstr>SA_SFP_GA_Cereales</vt:lpstr>
      <vt:lpstr>SA_SFP_GA_DivFou</vt:lpstr>
      <vt:lpstr>SA_SFP_GA_MaisGrain</vt:lpstr>
      <vt:lpstr>SA_SFP_GA_PoisLupins</vt:lpstr>
      <vt:lpstr>SA_SFP_Herbe</vt:lpstr>
      <vt:lpstr>SA_SFP_HerbePc</vt:lpstr>
      <vt:lpstr>SA_SFP_HerbeVAL</vt:lpstr>
      <vt:lpstr>SA_SFP_HerbeVL</vt:lpstr>
      <vt:lpstr>SA_SFP_Luz</vt:lpstr>
      <vt:lpstr>SA_SFP_Mais</vt:lpstr>
      <vt:lpstr>SA_SFP_MaisPc</vt:lpstr>
      <vt:lpstr>SA_SFP_Perma</vt:lpstr>
      <vt:lpstr>SA_SFPc</vt:lpstr>
      <vt:lpstr>SA_SPE</vt:lpstr>
      <vt:lpstr>SB_1</vt:lpstr>
      <vt:lpstr>SB_10</vt:lpstr>
      <vt:lpstr>SB_11</vt:lpstr>
      <vt:lpstr>SB_12</vt:lpstr>
      <vt:lpstr>SB_13</vt:lpstr>
      <vt:lpstr>SB_14</vt:lpstr>
      <vt:lpstr>SB_15</vt:lpstr>
      <vt:lpstr>SB_16</vt:lpstr>
      <vt:lpstr>SB_17</vt:lpstr>
      <vt:lpstr>SB_18</vt:lpstr>
      <vt:lpstr>SB_19</vt:lpstr>
      <vt:lpstr>SB_2</vt:lpstr>
      <vt:lpstr>SB_20</vt:lpstr>
      <vt:lpstr>SB_3</vt:lpstr>
      <vt:lpstr>SB_4</vt:lpstr>
      <vt:lpstr>SB_5</vt:lpstr>
      <vt:lpstr>SB_6</vt:lpstr>
      <vt:lpstr>SB_7</vt:lpstr>
      <vt:lpstr>SB_8</vt:lpstr>
      <vt:lpstr>SB_9</vt:lpstr>
      <vt:lpstr>Sous_type1_1</vt:lpstr>
      <vt:lpstr>Sous_type1_2</vt:lpstr>
      <vt:lpstr>Sous_type2_1</vt:lpstr>
      <vt:lpstr>Sous_type2_2</vt:lpstr>
      <vt:lpstr>Surface1</vt:lpstr>
      <vt:lpstr>Surface2</vt:lpstr>
      <vt:lpstr>Surface3</vt:lpstr>
      <vt:lpstr>Surface4</vt:lpstr>
      <vt:lpstr>SurfOff</vt:lpstr>
      <vt:lpstr>TA_FormGen</vt:lpstr>
      <vt:lpstr>TA_FormVach</vt:lpstr>
      <vt:lpstr>TA_NbGenAn1</vt:lpstr>
      <vt:lpstr>TA_NbGenAn1Ach</vt:lpstr>
      <vt:lpstr>TA_NbGenAn1Vd</vt:lpstr>
      <vt:lpstr>TA_NbGenAn2</vt:lpstr>
      <vt:lpstr>TA_NbGenAn3</vt:lpstr>
      <vt:lpstr>TA_NbVaches</vt:lpstr>
      <vt:lpstr>TA_NbVelaGen</vt:lpstr>
      <vt:lpstr>TA_PdsAch</vt:lpstr>
      <vt:lpstr>TA_PdsGeVel</vt:lpstr>
      <vt:lpstr>TA_PdsVd</vt:lpstr>
      <vt:lpstr>TA_PdsVend</vt:lpstr>
      <vt:lpstr>TA_TypeVela</vt:lpstr>
      <vt:lpstr>TA_UgbGenAn1</vt:lpstr>
      <vt:lpstr>TA_UgbGenAn2</vt:lpstr>
      <vt:lpstr>TA_UgbGenAn3</vt:lpstr>
      <vt:lpstr>TA_UgbVL</vt:lpstr>
      <vt:lpstr>TotNImport</vt:lpstr>
      <vt:lpstr>TotNImportPra</vt:lpstr>
      <vt:lpstr>Toupie_1</vt:lpstr>
      <vt:lpstr>Toupie_2</vt:lpstr>
      <vt:lpstr>Type1_1</vt:lpstr>
      <vt:lpstr>Type1_2</vt:lpstr>
      <vt:lpstr>Type2_1</vt:lpstr>
      <vt:lpstr>Type2_2</vt:lpstr>
      <vt:lpstr>UEL</vt:lpstr>
      <vt:lpstr>Ugb_Tot</vt:lpstr>
      <vt:lpstr>VaAS_Age</vt:lpstr>
      <vt:lpstr>VaAS_Atmosph</vt:lpstr>
      <vt:lpstr>VaAS_Dose</vt:lpstr>
      <vt:lpstr>VaAS_Effl</vt:lpstr>
      <vt:lpstr>VaAS_Fert</vt:lpstr>
      <vt:lpstr>VaAS_FOrg</vt:lpstr>
      <vt:lpstr>VaAS_K2O</vt:lpstr>
      <vt:lpstr>VaAS_N</vt:lpstr>
      <vt:lpstr>VaAS_P2O5</vt:lpstr>
      <vt:lpstr>VaAS_Patu</vt:lpstr>
      <vt:lpstr>VaAS_Prod</vt:lpstr>
      <vt:lpstr>VaAS_Rdt</vt:lpstr>
      <vt:lpstr>VaAS_Sol</vt:lpstr>
      <vt:lpstr>VaAS_Tref</vt:lpstr>
      <vt:lpstr>VaGP_Age</vt:lpstr>
      <vt:lpstr>VaGP_Atmosph</vt:lpstr>
      <vt:lpstr>VaGP_Dose</vt:lpstr>
      <vt:lpstr>VaGP_Effl</vt:lpstr>
      <vt:lpstr>VaGP_Fert</vt:lpstr>
      <vt:lpstr>VaGP_FOrg</vt:lpstr>
      <vt:lpstr>VaGP_K2O</vt:lpstr>
      <vt:lpstr>VaGP_N</vt:lpstr>
      <vt:lpstr>VaGP_P2O5</vt:lpstr>
      <vt:lpstr>VaGP_Patu</vt:lpstr>
      <vt:lpstr>VaGP_Rdt</vt:lpstr>
      <vt:lpstr>VaGP_Sol</vt:lpstr>
      <vt:lpstr>VL_AgeVelPre</vt:lpstr>
      <vt:lpstr>VL_ClaVelPre</vt:lpstr>
      <vt:lpstr>VL_Litrage</vt:lpstr>
      <vt:lpstr>VL_NbGenAn1</vt:lpstr>
      <vt:lpstr>VL_NbGenAn2</vt:lpstr>
      <vt:lpstr>VL_NbGenAn3</vt:lpstr>
      <vt:lpstr>VL_NbVaches</vt:lpstr>
      <vt:lpstr>VL_NbVelaGen</vt:lpstr>
      <vt:lpstr>VL_PdsGeVel</vt:lpstr>
      <vt:lpstr>VL_TB</vt:lpstr>
      <vt:lpstr>VL_TypeVela</vt:lpstr>
      <vt:lpstr>VL_UgbGenAn1</vt:lpstr>
      <vt:lpstr>VL_UgbGenAn2</vt:lpstr>
      <vt:lpstr>VL_UgbGenAn3</vt:lpstr>
      <vt:lpstr>VL_UgbVL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Michel Bonneau</cp:lastModifiedBy>
  <cp:lastPrinted>2017-03-24T13:54:28Z</cp:lastPrinted>
  <dcterms:created xsi:type="dcterms:W3CDTF">1996-10-21T11:03:58Z</dcterms:created>
  <dcterms:modified xsi:type="dcterms:W3CDTF">2021-07-19T15:34:44Z</dcterms:modified>
</cp:coreProperties>
</file>